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U:\PROGRAMMES\Oncopole\Axes 2 et 3\Programme FRQS-MedTeq\"/>
    </mc:Choice>
  </mc:AlternateContent>
  <workbookProtection workbookAlgorithmName="SHA-512" workbookHashValue="7Edo87kvrVFCzkO77GP3s8DnBL4NgDNo+MqYvhWwDuWwR1gdSM16VmQKw3UcdgGtnxxfglQavF2H1Ime5i6C5A==" workbookSaltValue="urMhyjAq1SYBkKE1N1AMJQ==" workbookSpinCount="100000" lockStructure="1"/>
  <bookViews>
    <workbookView xWindow="0" yWindow="0" windowWidth="23040" windowHeight="9000" firstSheet="7" activeTab="7"/>
  </bookViews>
  <sheets>
    <sheet name="Feuil1" sheetId="1" state="hidden" r:id="rId1"/>
    <sheet name="TRL1-3" sheetId="2" state="hidden" r:id="rId2"/>
    <sheet name="TRL4-6" sheetId="3" state="hidden" r:id="rId3"/>
    <sheet name="iTMT TRL1-3" sheetId="4" state="hidden" r:id="rId4"/>
    <sheet name="iTMT TRL4-6" sheetId="5" state="hidden" r:id="rId5"/>
    <sheet name="FRA" sheetId="8" state="hidden" r:id="rId6"/>
    <sheet name="ENG" sheetId="9" state="hidden" r:id="rId7"/>
    <sheet name="Budget de projet" sheetId="6" r:id="rId8"/>
    <sheet name="PrintSheet" sheetId="7" r:id="rId9"/>
  </sheets>
  <externalReferences>
    <externalReference r:id="rId10"/>
    <externalReference r:id="rId11"/>
  </externalReferences>
  <definedNames>
    <definedName name="_123">'Budget de projet'!$D$38</definedName>
    <definedName name="_124">'Budget de projet'!$D$36</definedName>
    <definedName name="_A90">'Budget de projet'!$D$44</definedName>
    <definedName name="A12A">'Budget de projet'!$D$45</definedName>
    <definedName name="Appariement">'Budget de projet'!$D$39</definedName>
    <definedName name="Autre_Other_montant">[1]Feuil1!$M$4</definedName>
    <definedName name="Cout_Recherche">'Budget de projet'!$M$39</definedName>
    <definedName name="CRSNG_RDC">[1]Feuil1!$M$6</definedName>
    <definedName name="Depenses_Admissibles">'Budget de projet'!#REF!</definedName>
    <definedName name="Duree">'Budget de projet'!$D$38</definedName>
    <definedName name="Etablissement">'Budget de projet'!$C$23</definedName>
    <definedName name="FG_MESI">'Budget de projet'!$M$42</definedName>
    <definedName name="FG_pourcentage_IND">[1]Feuil1!$AB$4</definedName>
    <definedName name="FG_pourcentage_MESI">[1]Feuil1!$AB$3</definedName>
    <definedName name="FIR_Ind">'Budget de projet'!$D$60</definedName>
    <definedName name="FRA">[1]Feuil1!$S$4</definedName>
    <definedName name="Grappe">'Budget de projet'!$D$41</definedName>
    <definedName name="Langue_Choisie">'Budget de projet'!$D$23</definedName>
    <definedName name="MATÉRIEL">'Budget de projet'!$M$28</definedName>
    <definedName name="Mitacs">[1]Feuil1!$M$8</definedName>
    <definedName name="Mitacs_contribution_base">[1]Feuil1!$V$5</definedName>
    <definedName name="Mitacs_contribution_grappe_min">[1]Feuil1!$V$10</definedName>
    <definedName name="Mitacs_contribution_grappe_suppl">[1]Feuil1!$V$11</definedName>
    <definedName name="Mitacs_contribution_IND_par_stage_NO_grappe">[2]Données!$R$13</definedName>
    <definedName name="Mitacs_contribution_IND_par_stage_si_grappe">[2]Données!$R$19</definedName>
    <definedName name="Mitacs_min_de_stage_pr_grappe">[1]Feuil1!$V$7</definedName>
    <definedName name="Nbr_Ind">'Budget de projet'!$D$45</definedName>
    <definedName name="OUI">[1]Feuil1!$X$3</definedName>
    <definedName name="PERSONNEL">'Budget de projet'!$M$25</definedName>
    <definedName name="Sélectionnez">Feuil1!$A$2</definedName>
    <definedName name="Test_Budget_Commence">'Budget de projet'!$X$36</definedName>
    <definedName name="Test_Info">'Budget de projet'!$X$22</definedName>
    <definedName name="Test_Nbr_Etablissement">'Budget de projet'!$X$27</definedName>
    <definedName name="Total_Admissible">'Budget de projet'!$M$52</definedName>
    <definedName name="TransMedTech">'Budget de projet'!$C$22</definedName>
    <definedName name="TRL">'Budget de projet'!$C$21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2" i="6" l="1"/>
  <c r="B73" i="9" l="1"/>
  <c r="G59" i="6"/>
  <c r="B73" i="6"/>
  <c r="B73" i="8"/>
  <c r="E22" i="8" l="1"/>
  <c r="E23" i="8"/>
  <c r="C30" i="8"/>
  <c r="G26" i="7" l="1"/>
  <c r="B17" i="6"/>
  <c r="E20" i="6"/>
  <c r="E42" i="9"/>
  <c r="C42" i="9"/>
  <c r="E38" i="9"/>
  <c r="E39" i="9"/>
  <c r="E40" i="9"/>
  <c r="C39" i="9"/>
  <c r="C40" i="9"/>
  <c r="C38" i="9"/>
  <c r="E34" i="9"/>
  <c r="E35" i="9"/>
  <c r="E36" i="9"/>
  <c r="C35" i="9"/>
  <c r="C36" i="9"/>
  <c r="C34" i="9"/>
  <c r="E30" i="9"/>
  <c r="E31" i="9"/>
  <c r="E32" i="9"/>
  <c r="C31" i="9"/>
  <c r="C32" i="9"/>
  <c r="C30" i="9"/>
  <c r="B12" i="6" l="1"/>
  <c r="B13" i="6"/>
  <c r="B14" i="6"/>
  <c r="B15" i="6"/>
  <c r="B16" i="6"/>
  <c r="B11" i="6"/>
  <c r="H61" i="6" l="1"/>
  <c r="H62" i="6"/>
  <c r="H63" i="6"/>
  <c r="H60" i="6"/>
  <c r="I63" i="9"/>
  <c r="I62" i="9"/>
  <c r="I61" i="9"/>
  <c r="I60" i="9"/>
  <c r="E61" i="9" l="1"/>
  <c r="E62" i="9"/>
  <c r="E63" i="9"/>
  <c r="E60" i="9"/>
  <c r="C61" i="9"/>
  <c r="C62" i="9"/>
  <c r="C63" i="9"/>
  <c r="C60" i="9"/>
  <c r="G51" i="9"/>
  <c r="G51" i="8"/>
  <c r="G73" i="9"/>
  <c r="F73" i="9"/>
  <c r="E73" i="9"/>
  <c r="G73" i="6"/>
  <c r="F73" i="6"/>
  <c r="E73" i="6"/>
  <c r="G73" i="8"/>
  <c r="F73" i="8"/>
  <c r="E73" i="8"/>
  <c r="C23" i="8"/>
  <c r="C24" i="8"/>
  <c r="C25" i="8"/>
  <c r="C20" i="8"/>
  <c r="C21" i="8"/>
  <c r="F103" i="6" l="1"/>
  <c r="F102" i="6"/>
  <c r="F101" i="6"/>
  <c r="F100" i="6"/>
  <c r="H21" i="6"/>
  <c r="I21" i="6"/>
  <c r="G21" i="6"/>
  <c r="E21" i="6"/>
  <c r="B22" i="6"/>
  <c r="B21" i="6"/>
  <c r="C91" i="6"/>
  <c r="H99" i="6"/>
  <c r="F99" i="6"/>
  <c r="E99" i="6"/>
  <c r="D99" i="6"/>
  <c r="C99" i="6"/>
  <c r="B99" i="6"/>
  <c r="B98" i="6"/>
  <c r="B92" i="6"/>
  <c r="B91" i="6"/>
  <c r="B90" i="6"/>
  <c r="B86" i="6"/>
  <c r="B85" i="6"/>
  <c r="B84" i="6"/>
  <c r="B83" i="6"/>
  <c r="B82" i="6"/>
  <c r="B81" i="6"/>
  <c r="B80" i="6"/>
  <c r="B77" i="6"/>
  <c r="B74" i="6"/>
  <c r="B72" i="6"/>
  <c r="B71" i="6"/>
  <c r="H68" i="6"/>
  <c r="G68" i="6"/>
  <c r="E68" i="6"/>
  <c r="E57" i="6"/>
  <c r="C57" i="6"/>
  <c r="B53" i="6"/>
  <c r="B49" i="6"/>
  <c r="B47" i="6"/>
  <c r="B46" i="6"/>
  <c r="B45" i="6"/>
  <c r="B43" i="6"/>
  <c r="B42" i="6"/>
  <c r="B41" i="6"/>
  <c r="B40" i="6"/>
  <c r="B39" i="6"/>
  <c r="B38" i="6"/>
  <c r="B37" i="6"/>
  <c r="B36" i="6"/>
  <c r="B35" i="6"/>
  <c r="B34" i="6"/>
  <c r="B33" i="6"/>
  <c r="B32" i="6"/>
  <c r="B31" i="6"/>
  <c r="B30" i="6"/>
  <c r="B29" i="6"/>
  <c r="G28" i="6"/>
  <c r="E28" i="6"/>
  <c r="C28" i="6"/>
  <c r="B25" i="6"/>
  <c r="B24" i="6"/>
  <c r="B23" i="6"/>
  <c r="E61" i="8" l="1"/>
  <c r="E62" i="8"/>
  <c r="E63" i="8"/>
  <c r="E60" i="8"/>
  <c r="C61" i="8"/>
  <c r="C62" i="8"/>
  <c r="C63" i="8"/>
  <c r="C60" i="8"/>
  <c r="E24" i="8"/>
  <c r="B62" i="8" s="1"/>
  <c r="C89" i="8" s="1"/>
  <c r="E25" i="8"/>
  <c r="B63" i="8" s="1"/>
  <c r="B103" i="8" s="1"/>
  <c r="E42" i="8"/>
  <c r="G42" i="8" s="1"/>
  <c r="C42" i="8"/>
  <c r="C39" i="8"/>
  <c r="E39" i="8"/>
  <c r="C40" i="8"/>
  <c r="E40" i="8"/>
  <c r="E38" i="8"/>
  <c r="C38" i="8"/>
  <c r="C35" i="8"/>
  <c r="E35" i="8"/>
  <c r="C36" i="8"/>
  <c r="E36" i="8"/>
  <c r="E34" i="8"/>
  <c r="G34" i="8" s="1"/>
  <c r="C34" i="8"/>
  <c r="C31" i="8"/>
  <c r="E31" i="8"/>
  <c r="C32" i="8"/>
  <c r="E32" i="8"/>
  <c r="E30" i="8"/>
  <c r="G30" i="8"/>
  <c r="B70" i="6"/>
  <c r="C68" i="6"/>
  <c r="C67" i="6"/>
  <c r="B64" i="6"/>
  <c r="B59" i="6"/>
  <c r="I58" i="6"/>
  <c r="I56" i="6"/>
  <c r="H56" i="6"/>
  <c r="G56" i="6"/>
  <c r="C56" i="6"/>
  <c r="B55" i="6"/>
  <c r="D28" i="6"/>
  <c r="F28" i="6"/>
  <c r="B28" i="6"/>
  <c r="B3" i="7" s="1"/>
  <c r="B27" i="6"/>
  <c r="B20" i="6"/>
  <c r="B19" i="6"/>
  <c r="B10" i="6"/>
  <c r="D8" i="6"/>
  <c r="B96" i="9"/>
  <c r="B95" i="6" s="1"/>
  <c r="C85" i="9"/>
  <c r="C84" i="9"/>
  <c r="C83" i="9"/>
  <c r="C82" i="9"/>
  <c r="C81" i="9"/>
  <c r="E74" i="9"/>
  <c r="B97" i="9"/>
  <c r="B95" i="9"/>
  <c r="B94" i="6" s="1"/>
  <c r="B94" i="9"/>
  <c r="B93" i="6" s="1"/>
  <c r="G69" i="9"/>
  <c r="F69" i="9"/>
  <c r="E69" i="9"/>
  <c r="D69" i="9"/>
  <c r="C69" i="9"/>
  <c r="F103" i="9"/>
  <c r="B63" i="9"/>
  <c r="B103" i="9" s="1"/>
  <c r="F102" i="9"/>
  <c r="B62" i="9"/>
  <c r="B102" i="9" s="1"/>
  <c r="F101" i="9"/>
  <c r="B61" i="9"/>
  <c r="C88" i="9" s="1"/>
  <c r="F100" i="9"/>
  <c r="B60" i="9"/>
  <c r="C87" i="9" s="1"/>
  <c r="G59" i="9"/>
  <c r="G63" i="9" s="1"/>
  <c r="E59" i="9"/>
  <c r="E64" i="9" s="1"/>
  <c r="G42" i="9"/>
  <c r="E41" i="9"/>
  <c r="C41" i="9"/>
  <c r="G40" i="9"/>
  <c r="G39" i="9"/>
  <c r="G38" i="9"/>
  <c r="E37" i="9"/>
  <c r="C37" i="9"/>
  <c r="G36" i="9"/>
  <c r="G35" i="9"/>
  <c r="G34" i="9"/>
  <c r="E33" i="9"/>
  <c r="C33" i="9"/>
  <c r="G32" i="9"/>
  <c r="G31" i="9"/>
  <c r="G30" i="9"/>
  <c r="E29" i="9"/>
  <c r="C29" i="9"/>
  <c r="B96" i="8"/>
  <c r="C85" i="8"/>
  <c r="C84" i="8"/>
  <c r="C83" i="8"/>
  <c r="C82" i="8"/>
  <c r="C81" i="8"/>
  <c r="E74" i="8"/>
  <c r="B97" i="8"/>
  <c r="B95" i="8"/>
  <c r="B94" i="8"/>
  <c r="G69" i="8"/>
  <c r="F69" i="8"/>
  <c r="E69" i="8"/>
  <c r="D69" i="8"/>
  <c r="C69" i="8"/>
  <c r="I63" i="8"/>
  <c r="F103" i="8" s="1"/>
  <c r="I62" i="8"/>
  <c r="F102" i="8" s="1"/>
  <c r="I61" i="8"/>
  <c r="F101" i="8" s="1"/>
  <c r="B61" i="8"/>
  <c r="C88" i="8" s="1"/>
  <c r="I60" i="8"/>
  <c r="F100" i="8" s="1"/>
  <c r="B60" i="8"/>
  <c r="C87" i="8" s="1"/>
  <c r="G59" i="8"/>
  <c r="E59" i="8"/>
  <c r="C41" i="8"/>
  <c r="C82" i="6"/>
  <c r="D33" i="7" s="1"/>
  <c r="B43" i="7"/>
  <c r="C83" i="6"/>
  <c r="D34" i="7" s="1"/>
  <c r="C81" i="6"/>
  <c r="D32" i="7" s="1"/>
  <c r="E17" i="7"/>
  <c r="C17" i="7"/>
  <c r="C16" i="7" s="1"/>
  <c r="E13" i="7"/>
  <c r="E14" i="7"/>
  <c r="E15" i="7"/>
  <c r="C14" i="7"/>
  <c r="C15" i="7"/>
  <c r="C13" i="7"/>
  <c r="E9" i="7"/>
  <c r="E10" i="7"/>
  <c r="E11" i="7"/>
  <c r="C10" i="7"/>
  <c r="C11" i="7"/>
  <c r="C9" i="7"/>
  <c r="E5" i="7"/>
  <c r="E6" i="7"/>
  <c r="E7" i="7"/>
  <c r="C6" i="7"/>
  <c r="C7" i="7"/>
  <c r="C5" i="7"/>
  <c r="C84" i="6"/>
  <c r="D35" i="7" s="1"/>
  <c r="G32" i="8" l="1"/>
  <c r="B96" i="6"/>
  <c r="B47" i="7" s="1"/>
  <c r="G37" i="9"/>
  <c r="G41" i="9"/>
  <c r="C43" i="9"/>
  <c r="C46" i="9" s="1"/>
  <c r="E43" i="9"/>
  <c r="E46" i="9" s="1"/>
  <c r="G39" i="8"/>
  <c r="G35" i="8"/>
  <c r="G31" i="8"/>
  <c r="E41" i="8"/>
  <c r="G41" i="8" s="1"/>
  <c r="C29" i="8"/>
  <c r="E33" i="8"/>
  <c r="C37" i="8"/>
  <c r="G38" i="8"/>
  <c r="E64" i="8"/>
  <c r="G36" i="8"/>
  <c r="G63" i="8"/>
  <c r="J63" i="8" s="1"/>
  <c r="E29" i="8"/>
  <c r="E37" i="8"/>
  <c r="B102" i="8"/>
  <c r="B100" i="8"/>
  <c r="G40" i="8"/>
  <c r="C33" i="8"/>
  <c r="E103" i="9"/>
  <c r="J63" i="9"/>
  <c r="C89" i="9"/>
  <c r="B100" i="9"/>
  <c r="G33" i="9"/>
  <c r="G60" i="9"/>
  <c r="G62" i="9"/>
  <c r="C90" i="9"/>
  <c r="B101" i="9"/>
  <c r="G29" i="9"/>
  <c r="G61" i="9"/>
  <c r="C90" i="8"/>
  <c r="G60" i="8"/>
  <c r="G62" i="8"/>
  <c r="B101" i="8"/>
  <c r="G61" i="8"/>
  <c r="G5" i="7"/>
  <c r="G13" i="7"/>
  <c r="G11" i="7"/>
  <c r="G10" i="7"/>
  <c r="G6" i="7"/>
  <c r="G9" i="7"/>
  <c r="C8" i="7"/>
  <c r="E4" i="7"/>
  <c r="E8" i="7"/>
  <c r="G15" i="7"/>
  <c r="E12" i="7"/>
  <c r="C4" i="7"/>
  <c r="G7" i="7"/>
  <c r="G17" i="7"/>
  <c r="E16" i="7"/>
  <c r="G16" i="7" s="1"/>
  <c r="G14" i="7"/>
  <c r="C12" i="7"/>
  <c r="B46" i="7"/>
  <c r="C47" i="9" l="1"/>
  <c r="C45" i="9" s="1"/>
  <c r="C49" i="9" s="1"/>
  <c r="E47" i="9"/>
  <c r="E45" i="9" s="1"/>
  <c r="E49" i="9" s="1"/>
  <c r="G43" i="9"/>
  <c r="E43" i="8"/>
  <c r="E47" i="8" s="1"/>
  <c r="G29" i="8"/>
  <c r="G37" i="8"/>
  <c r="C43" i="8"/>
  <c r="C46" i="8" s="1"/>
  <c r="E103" i="8"/>
  <c r="G33" i="8"/>
  <c r="E102" i="9"/>
  <c r="J62" i="9"/>
  <c r="E100" i="9"/>
  <c r="J60" i="9"/>
  <c r="E101" i="9"/>
  <c r="J61" i="9"/>
  <c r="G46" i="9"/>
  <c r="J61" i="8"/>
  <c r="E101" i="8"/>
  <c r="E100" i="8"/>
  <c r="J60" i="8"/>
  <c r="E102" i="8"/>
  <c r="J62" i="8"/>
  <c r="G4" i="7"/>
  <c r="C18" i="7"/>
  <c r="C21" i="7" s="1"/>
  <c r="G8" i="7"/>
  <c r="E18" i="7"/>
  <c r="E22" i="7" s="1"/>
  <c r="G12" i="7"/>
  <c r="G47" i="9" l="1"/>
  <c r="G45" i="9" s="1"/>
  <c r="G49" i="9" s="1"/>
  <c r="G53" i="9" s="1"/>
  <c r="E46" i="8"/>
  <c r="G46" i="8" s="1"/>
  <c r="C47" i="8"/>
  <c r="C45" i="8" s="1"/>
  <c r="C49" i="8" s="1"/>
  <c r="G43" i="8"/>
  <c r="C22" i="7"/>
  <c r="G22" i="7" s="1"/>
  <c r="E45" i="8"/>
  <c r="E49" i="8" s="1"/>
  <c r="E21" i="7"/>
  <c r="E20" i="7" s="1"/>
  <c r="E24" i="7" s="1"/>
  <c r="G18" i="7"/>
  <c r="G42" i="6"/>
  <c r="G40" i="6"/>
  <c r="G39" i="6"/>
  <c r="G38" i="6"/>
  <c r="G36" i="6"/>
  <c r="G35" i="6"/>
  <c r="G34" i="6"/>
  <c r="G31" i="6"/>
  <c r="G32" i="6"/>
  <c r="G30" i="6"/>
  <c r="B51" i="9" l="1"/>
  <c r="D60" i="9"/>
  <c r="D62" i="9"/>
  <c r="F61" i="9"/>
  <c r="F60" i="9"/>
  <c r="F62" i="9"/>
  <c r="C86" i="9"/>
  <c r="D61" i="9"/>
  <c r="F63" i="9"/>
  <c r="F59" i="9"/>
  <c r="D63" i="9"/>
  <c r="G47" i="8"/>
  <c r="G45" i="8" s="1"/>
  <c r="G49" i="8" s="1"/>
  <c r="G53" i="8" s="1"/>
  <c r="C20" i="7"/>
  <c r="C24" i="7" s="1"/>
  <c r="G21" i="7"/>
  <c r="G20" i="7" s="1"/>
  <c r="G24" i="7" s="1"/>
  <c r="E59" i="6"/>
  <c r="F64" i="9" l="1"/>
  <c r="B51" i="8"/>
  <c r="B51" i="6" s="1"/>
  <c r="D60" i="8"/>
  <c r="D61" i="8"/>
  <c r="F63" i="8"/>
  <c r="D62" i="8"/>
  <c r="C86" i="8"/>
  <c r="F62" i="8"/>
  <c r="F59" i="8"/>
  <c r="D63" i="8"/>
  <c r="F60" i="8"/>
  <c r="F61" i="8"/>
  <c r="G28" i="7"/>
  <c r="B26" i="7"/>
  <c r="C8" i="3"/>
  <c r="C13" i="5"/>
  <c r="F64" i="8" l="1"/>
  <c r="G61" i="6"/>
  <c r="G69" i="6"/>
  <c r="F51" i="7"/>
  <c r="F52" i="7"/>
  <c r="F53" i="7"/>
  <c r="F54" i="7"/>
  <c r="B61" i="6"/>
  <c r="B62" i="6"/>
  <c r="B63" i="6"/>
  <c r="B60" i="6"/>
  <c r="E74" i="6"/>
  <c r="D69" i="6"/>
  <c r="E69" i="6"/>
  <c r="F69" i="6"/>
  <c r="B44" i="7"/>
  <c r="E41" i="6"/>
  <c r="C41" i="6"/>
  <c r="E37" i="6"/>
  <c r="C37" i="6"/>
  <c r="E33" i="6"/>
  <c r="C33" i="6"/>
  <c r="E29" i="6"/>
  <c r="C29" i="6"/>
  <c r="G29" i="6" l="1"/>
  <c r="G37" i="6"/>
  <c r="E101" i="6"/>
  <c r="E52" i="7" s="1"/>
  <c r="I61" i="6"/>
  <c r="B100" i="6"/>
  <c r="B51" i="7" s="1"/>
  <c r="C86" i="6"/>
  <c r="C37" i="7" s="1"/>
  <c r="B103" i="6"/>
  <c r="B54" i="7" s="1"/>
  <c r="C89" i="6"/>
  <c r="C40" i="7" s="1"/>
  <c r="B102" i="6"/>
  <c r="B53" i="7" s="1"/>
  <c r="C88" i="6"/>
  <c r="C39" i="7" s="1"/>
  <c r="B101" i="6"/>
  <c r="B52" i="7" s="1"/>
  <c r="C87" i="6"/>
  <c r="C38" i="7" s="1"/>
  <c r="G33" i="6"/>
  <c r="G41" i="6"/>
  <c r="G63" i="6"/>
  <c r="I63" i="6" s="1"/>
  <c r="G60" i="6"/>
  <c r="I60" i="6" s="1"/>
  <c r="G62" i="6"/>
  <c r="I62" i="6" s="1"/>
  <c r="E43" i="6"/>
  <c r="C43" i="6"/>
  <c r="E103" i="6" l="1"/>
  <c r="E54" i="7" s="1"/>
  <c r="E102" i="6"/>
  <c r="E53" i="7" s="1"/>
  <c r="E100" i="6"/>
  <c r="E51" i="7" s="1"/>
  <c r="C47" i="6"/>
  <c r="C46" i="6"/>
  <c r="E46" i="6"/>
  <c r="E47" i="6"/>
  <c r="G46" i="6" l="1"/>
  <c r="G47" i="6"/>
  <c r="E45" i="6"/>
  <c r="E49" i="6" s="1"/>
  <c r="C45" i="6"/>
  <c r="C49" i="6" s="1"/>
  <c r="G7" i="4" l="1"/>
  <c r="G7" i="2"/>
  <c r="G8" i="2" s="1"/>
  <c r="G10" i="2" s="1"/>
  <c r="G9" i="2"/>
  <c r="I8" i="2" s="1"/>
  <c r="G8" i="4" l="1"/>
  <c r="G9" i="4"/>
  <c r="E33" i="1"/>
  <c r="E35" i="1"/>
  <c r="E38" i="1" l="1"/>
  <c r="G11" i="4"/>
  <c r="K20" i="1"/>
  <c r="L14" i="1"/>
  <c r="L16" i="1"/>
  <c r="L17" i="1" s="1"/>
  <c r="H17" i="1" l="1"/>
  <c r="H18" i="1" s="1"/>
  <c r="F12" i="1"/>
  <c r="F6" i="1" s="1"/>
  <c r="F9" i="1"/>
  <c r="B9" i="1"/>
  <c r="H15" i="1" l="1"/>
  <c r="H19" i="1" s="1"/>
  <c r="E64" i="6"/>
  <c r="E7" i="1"/>
  <c r="G16" i="1"/>
  <c r="E24" i="1" l="1"/>
  <c r="E25" i="1" s="1"/>
  <c r="G17" i="1"/>
  <c r="E8" i="1"/>
  <c r="G45" i="6" l="1"/>
  <c r="G43" i="6"/>
  <c r="C8" i="4" s="1"/>
  <c r="G49" i="6" l="1"/>
  <c r="C9" i="5"/>
  <c r="C12" i="5" s="1"/>
  <c r="C10" i="4"/>
  <c r="C11" i="4"/>
  <c r="C8" i="2"/>
  <c r="C14" i="5" l="1"/>
  <c r="C19" i="5" s="1"/>
  <c r="C11" i="5"/>
  <c r="G53" i="6"/>
  <c r="C85" i="6" s="1"/>
  <c r="D36" i="7" s="1"/>
  <c r="C13" i="2"/>
  <c r="C11" i="2"/>
  <c r="E20" i="2" s="1"/>
  <c r="C10" i="2"/>
  <c r="F19" i="5" l="1"/>
  <c r="D13" i="5"/>
  <c r="C16" i="5"/>
  <c r="F60" i="6"/>
  <c r="D63" i="6"/>
  <c r="D62" i="6"/>
  <c r="F63" i="6"/>
  <c r="C9" i="3"/>
  <c r="G8" i="3"/>
  <c r="G7" i="3" s="1"/>
  <c r="F59" i="6"/>
  <c r="F62" i="6"/>
  <c r="F61" i="6"/>
  <c r="D60" i="6"/>
  <c r="D61" i="6"/>
  <c r="C13" i="4"/>
  <c r="G9" i="5"/>
  <c r="G7" i="5" s="1"/>
  <c r="D19" i="5"/>
  <c r="C16" i="2"/>
  <c r="C15" i="2"/>
  <c r="G23" i="2"/>
  <c r="C17" i="2"/>
  <c r="D13" i="2"/>
  <c r="D16" i="5" l="1"/>
  <c r="C17" i="4"/>
  <c r="C15" i="4"/>
  <c r="C72" i="9" s="1"/>
  <c r="C18" i="4"/>
  <c r="C16" i="4"/>
  <c r="F64" i="6"/>
  <c r="G9" i="3"/>
  <c r="G10" i="3"/>
  <c r="G10" i="5"/>
  <c r="G11" i="5"/>
  <c r="C18" i="5" s="1"/>
  <c r="C71" i="9" s="1"/>
  <c r="C17" i="5"/>
  <c r="C12" i="3"/>
  <c r="C14" i="3"/>
  <c r="C11" i="3"/>
  <c r="C18" i="2"/>
  <c r="C70" i="8" l="1"/>
  <c r="C72" i="8"/>
  <c r="C73" i="6"/>
  <c r="C96" i="6" s="1"/>
  <c r="C47" i="7" s="1"/>
  <c r="C73" i="8"/>
  <c r="C73" i="9"/>
  <c r="C70" i="9"/>
  <c r="C71" i="8"/>
  <c r="C20" i="2"/>
  <c r="C19" i="4"/>
  <c r="D17" i="5"/>
  <c r="E19" i="5"/>
  <c r="C20" i="5"/>
  <c r="G11" i="3"/>
  <c r="D18" i="5"/>
  <c r="F20" i="3"/>
  <c r="C18" i="3"/>
  <c r="D8" i="3"/>
  <c r="C16" i="3"/>
  <c r="C17" i="3"/>
  <c r="G13" i="5"/>
  <c r="E18" i="2"/>
  <c r="E19" i="2"/>
  <c r="D17" i="3" l="1"/>
  <c r="C70" i="6"/>
  <c r="D18" i="3"/>
  <c r="C71" i="6"/>
  <c r="C94" i="6" s="1"/>
  <c r="C45" i="7" s="1"/>
  <c r="D73" i="8"/>
  <c r="D97" i="8" s="1"/>
  <c r="I73" i="8"/>
  <c r="C59" i="8"/>
  <c r="I73" i="9"/>
  <c r="D73" i="9"/>
  <c r="D97" i="9" s="1"/>
  <c r="H73" i="6"/>
  <c r="D73" i="6"/>
  <c r="D96" i="6" s="1"/>
  <c r="D47" i="7" s="1"/>
  <c r="C59" i="9"/>
  <c r="C21" i="4"/>
  <c r="C74" i="8"/>
  <c r="C94" i="8"/>
  <c r="I70" i="8"/>
  <c r="D70" i="8"/>
  <c r="C97" i="9"/>
  <c r="C96" i="9"/>
  <c r="D72" i="9"/>
  <c r="C97" i="8"/>
  <c r="I71" i="8"/>
  <c r="C95" i="8"/>
  <c r="D71" i="8"/>
  <c r="D95" i="8" s="1"/>
  <c r="C96" i="8"/>
  <c r="D72" i="8"/>
  <c r="C95" i="9"/>
  <c r="I71" i="9"/>
  <c r="D71" i="9"/>
  <c r="D95" i="9" s="1"/>
  <c r="C94" i="9"/>
  <c r="I70" i="9"/>
  <c r="C74" i="9"/>
  <c r="D70" i="9"/>
  <c r="D72" i="6"/>
  <c r="C95" i="6"/>
  <c r="C46" i="7" s="1"/>
  <c r="D70" i="6"/>
  <c r="D93" i="6" s="1"/>
  <c r="D44" i="7" s="1"/>
  <c r="D16" i="3"/>
  <c r="C19" i="3"/>
  <c r="C22" i="5"/>
  <c r="D20" i="5"/>
  <c r="D19" i="3" l="1"/>
  <c r="C59" i="6"/>
  <c r="C92" i="6" s="1"/>
  <c r="C43" i="7" s="1"/>
  <c r="D71" i="6"/>
  <c r="D94" i="6" s="1"/>
  <c r="D45" i="7" s="1"/>
  <c r="H71" i="6"/>
  <c r="G72" i="8"/>
  <c r="I72" i="8" s="1"/>
  <c r="I74" i="8" s="1"/>
  <c r="D96" i="8"/>
  <c r="D96" i="9"/>
  <c r="G72" i="9"/>
  <c r="I72" i="9" s="1"/>
  <c r="I74" i="9" s="1"/>
  <c r="D74" i="9"/>
  <c r="D94" i="9"/>
  <c r="D74" i="8"/>
  <c r="D94" i="8"/>
  <c r="C64" i="9"/>
  <c r="C65" i="9" s="1"/>
  <c r="C93" i="9"/>
  <c r="D59" i="9"/>
  <c r="C64" i="8"/>
  <c r="C65" i="8" s="1"/>
  <c r="C93" i="8"/>
  <c r="D59" i="8"/>
  <c r="C74" i="6"/>
  <c r="H70" i="6"/>
  <c r="C93" i="6"/>
  <c r="C44" i="7" s="1"/>
  <c r="G72" i="6"/>
  <c r="D95" i="6"/>
  <c r="D46" i="7" s="1"/>
  <c r="D22" i="3"/>
  <c r="D59" i="6"/>
  <c r="D92" i="6" s="1"/>
  <c r="D74" i="6"/>
  <c r="C22" i="3"/>
  <c r="C64" i="6" l="1"/>
  <c r="C97" i="6"/>
  <c r="C48" i="7" s="1"/>
  <c r="C65" i="6"/>
  <c r="H72" i="6"/>
  <c r="H74" i="6" s="1"/>
  <c r="G74" i="6"/>
  <c r="D103" i="9"/>
  <c r="C103" i="9" s="1"/>
  <c r="H103" i="9" s="1"/>
  <c r="D101" i="9"/>
  <c r="C101" i="9" s="1"/>
  <c r="H101" i="9" s="1"/>
  <c r="D64" i="9"/>
  <c r="D100" i="9"/>
  <c r="C100" i="9" s="1"/>
  <c r="H100" i="9" s="1"/>
  <c r="D102" i="9"/>
  <c r="C102" i="9" s="1"/>
  <c r="H102" i="9" s="1"/>
  <c r="D93" i="9"/>
  <c r="D103" i="8"/>
  <c r="C103" i="8" s="1"/>
  <c r="H103" i="8" s="1"/>
  <c r="D101" i="8"/>
  <c r="C101" i="8" s="1"/>
  <c r="H101" i="8" s="1"/>
  <c r="D93" i="8"/>
  <c r="D102" i="8"/>
  <c r="C102" i="8" s="1"/>
  <c r="H102" i="8" s="1"/>
  <c r="D64" i="8"/>
  <c r="D100" i="8"/>
  <c r="C100" i="8" s="1"/>
  <c r="H100" i="8" s="1"/>
  <c r="D102" i="6"/>
  <c r="D100" i="6"/>
  <c r="D101" i="6"/>
  <c r="D103" i="6"/>
  <c r="D64" i="6"/>
  <c r="D43" i="7" l="1"/>
  <c r="D97" i="6"/>
  <c r="D48" i="7" s="1"/>
  <c r="C101" i="6"/>
  <c r="C52" i="7" s="1"/>
  <c r="C102" i="6"/>
  <c r="C53" i="7" s="1"/>
  <c r="C103" i="6"/>
  <c r="C54" i="7" s="1"/>
  <c r="C100" i="6"/>
  <c r="H100" i="6" s="1"/>
  <c r="G51" i="7" s="1"/>
  <c r="D54" i="7"/>
  <c r="D52" i="7"/>
  <c r="D51" i="7"/>
  <c r="D53" i="7"/>
  <c r="H101" i="6" l="1"/>
  <c r="G52" i="7" s="1"/>
  <c r="H102" i="6"/>
  <c r="G53" i="7" s="1"/>
  <c r="C51" i="7"/>
  <c r="H103" i="6"/>
  <c r="G54" i="7" s="1"/>
</calcChain>
</file>

<file path=xl/comments1.xml><?xml version="1.0" encoding="utf-8"?>
<comments xmlns="http://schemas.openxmlformats.org/spreadsheetml/2006/main">
  <authors>
    <author>Iris Leroux</author>
  </authors>
  <commentList>
    <comment ref="G40" authorId="0" shapeId="0">
      <text>
        <r>
          <rPr>
            <sz val="9"/>
            <color indexed="81"/>
            <rFont val="Tahoma"/>
            <family val="2"/>
          </rPr>
          <t>Le % des FIR de l'insitution de recherche s'applique au pro rata des contributions en espèces de chaque partenaire (Industriels, Fédéral, MEDTEQ).
Le calcul des FIR ne prend pas en compte les frais de gestion.</t>
        </r>
      </text>
    </comment>
    <comment ref="G51" authorId="0" shapeId="0">
      <text>
        <r>
          <rPr>
            <sz val="9"/>
            <color indexed="81"/>
            <rFont val="Tahoma"/>
            <family val="2"/>
          </rPr>
          <t>Le % des FIR de l'insitution de recherche s'applique au pro rata des contributions en espèces de chaque partenaire (Industriels, Fédéral, MEDTEQ).
Le calcul des FIR ne prend pas en compte les frais de gestion.</t>
        </r>
      </text>
    </comment>
    <comment ref="G53" authorId="0" shapeId="0">
      <text>
        <r>
          <rPr>
            <sz val="9"/>
            <color indexed="81"/>
            <rFont val="Tahoma"/>
            <family val="2"/>
          </rPr>
          <t xml:space="preserve">Le % des FIR de l'insitution de recherche versé par MEDTEQ s'applique uniquement sur les postes de dépenses PERSONNEL, MATÉRIEL ET CONSOMMABLES et DÉPLACEMENT.
</t>
        </r>
      </text>
    </comment>
    <comment ref="G54" authorId="0" shapeId="0">
      <text>
        <r>
          <rPr>
            <b/>
            <sz val="9"/>
            <color indexed="81"/>
            <rFont val="Tahoma"/>
            <family val="2"/>
          </rPr>
          <t>Iris Leroux:</t>
        </r>
        <r>
          <rPr>
            <sz val="9"/>
            <color indexed="81"/>
            <rFont val="Tahoma"/>
            <family val="2"/>
          </rPr>
          <t xml:space="preserve">
Le montant des FIR de l'insitution de recherche versé par d'autres organismes subventionnaires n'est pas estimé par MEDTEQ.</t>
        </r>
      </text>
    </comment>
  </commentList>
</comments>
</file>

<file path=xl/comments2.xml><?xml version="1.0" encoding="utf-8"?>
<comments xmlns="http://schemas.openxmlformats.org/spreadsheetml/2006/main">
  <authors>
    <author>Iris Leroux</author>
  </authors>
  <commentList>
    <comment ref="G42" authorId="0" shapeId="0">
      <text>
        <r>
          <rPr>
            <sz val="9"/>
            <color indexed="81"/>
            <rFont val="Tahoma"/>
            <family val="2"/>
          </rPr>
          <t>Le % des FIR de l'insitution de recherche s'applique au pro rata des contributions en espèces de chaque partenaire (Industriels, Fédéral, MEDTEQ).
Le calcul des FIR ne prend pas en compte les frais de gestion.</t>
        </r>
      </text>
    </comment>
    <comment ref="G53" authorId="0" shapeId="0">
      <text>
        <r>
          <rPr>
            <sz val="9"/>
            <color indexed="81"/>
            <rFont val="Tahoma"/>
            <family val="2"/>
          </rPr>
          <t>Le % des FIR de l'insitution de recherche s'applique au pro rata des contributions en espèces de chaque partenaire (Industriels, Fédéral, MEDTEQ).
Le calcul des FIR ne prend pas en compte les frais de gestion.</t>
        </r>
      </text>
    </comment>
    <comment ref="G55" authorId="0" shapeId="0">
      <text>
        <r>
          <rPr>
            <sz val="9"/>
            <color indexed="81"/>
            <rFont val="Tahoma"/>
            <family val="2"/>
          </rPr>
          <t xml:space="preserve">Le % des FIR de l'insitution de recherche versé par MEDTEQ s'applique uniquement sur les postes de dépenses PERSONNEL, MATÉRIEL ET CONSOMMABLES et DÉPLACEMENT.
</t>
        </r>
      </text>
    </comment>
    <comment ref="G56" authorId="0" shapeId="0">
      <text>
        <r>
          <rPr>
            <b/>
            <sz val="9"/>
            <color indexed="81"/>
            <rFont val="Tahoma"/>
            <family val="2"/>
          </rPr>
          <t>Iris Leroux:</t>
        </r>
        <r>
          <rPr>
            <sz val="9"/>
            <color indexed="81"/>
            <rFont val="Tahoma"/>
            <family val="2"/>
          </rPr>
          <t xml:space="preserve">
Le montant des FIR de l'insitution de recherche versé par d'autres organismes subventionnaires n'est pas estimé par MEDTEQ.</t>
        </r>
      </text>
    </comment>
  </commentList>
</comments>
</file>

<file path=xl/comments3.xml><?xml version="1.0" encoding="utf-8"?>
<comments xmlns="http://schemas.openxmlformats.org/spreadsheetml/2006/main">
  <authors>
    <author>Iris Leroux</author>
  </authors>
  <commentList>
    <comment ref="G40" authorId="0" shapeId="0">
      <text>
        <r>
          <rPr>
            <sz val="9"/>
            <color indexed="81"/>
            <rFont val="Tahoma"/>
            <family val="2"/>
          </rPr>
          <t>Le % des FIR de l'insitution de recherche s'applique au pro rata des contributions en espèces de chaque partenaire (Industriels, Fédéral, MEDTEQ).
Le calcul des FIR ne prend pas en compte les frais de gestion.</t>
        </r>
      </text>
    </comment>
    <comment ref="G51" authorId="0" shapeId="0">
      <text>
        <r>
          <rPr>
            <sz val="9"/>
            <color indexed="81"/>
            <rFont val="Tahoma"/>
            <family val="2"/>
          </rPr>
          <t>Le % des FIR de l'insitution de recherche s'applique au pro rata des contributions en espèces de chaque partenaire (Industriels, Fédéral, MEDTEQ).
Le calcul des FIR ne prend pas en compte les frais de gestion.</t>
        </r>
      </text>
    </comment>
    <comment ref="G53" authorId="0" shapeId="0">
      <text>
        <r>
          <rPr>
            <sz val="9"/>
            <color indexed="81"/>
            <rFont val="Tahoma"/>
            <family val="2"/>
          </rPr>
          <t xml:space="preserve">Le % des FIR de l'insitution de recherche versé par MEDTEQ s'applique uniquement sur les postes de dépenses PERSONNEL, MATÉRIEL ET CONSOMMABLES et DÉPLACEMENT.
</t>
        </r>
      </text>
    </comment>
    <comment ref="G54" authorId="0" shapeId="0">
      <text>
        <r>
          <rPr>
            <b/>
            <sz val="9"/>
            <color indexed="81"/>
            <rFont val="Tahoma"/>
            <family val="2"/>
          </rPr>
          <t>Iris Leroux:</t>
        </r>
        <r>
          <rPr>
            <sz val="9"/>
            <color indexed="81"/>
            <rFont val="Tahoma"/>
            <family val="2"/>
          </rPr>
          <t xml:space="preserve">
Le montant des FIR de l'insitution de recherche versé par d'autres organismes subventionnaires n'est pas estimé par MEDTEQ.</t>
        </r>
      </text>
    </comment>
  </commentList>
</comments>
</file>

<file path=xl/comments4.xml><?xml version="1.0" encoding="utf-8"?>
<comments xmlns="http://schemas.openxmlformats.org/spreadsheetml/2006/main">
  <authors>
    <author>Iris Leroux</author>
  </authors>
  <commentList>
    <comment ref="G41" authorId="0" shapeId="0">
      <text>
        <r>
          <rPr>
            <sz val="9"/>
            <color indexed="81"/>
            <rFont val="Tahoma"/>
            <family val="2"/>
          </rPr>
          <t>Le % des FIR de l'insitution de recherche s'applique au pro rata des contributions en espèces de chaque partenaire (Industriels, Fédéral, MEDTEQ).
Le calcul des FIR ne prend pas en compte les frais de gestion.</t>
        </r>
      </text>
    </comment>
    <comment ref="G52" authorId="0" shapeId="0">
      <text>
        <r>
          <rPr>
            <sz val="9"/>
            <color indexed="81"/>
            <rFont val="Tahoma"/>
            <family val="2"/>
          </rPr>
          <t>Le % des FIR de l'insitution de recherche s'applique au pro rata des contributions en espèces de chaque partenaire (Industriels, Fédéral, MEDTEQ).
Le calcul des FIR ne prend pas en compte les frais de gestion.</t>
        </r>
      </text>
    </comment>
    <comment ref="G54" authorId="0" shapeId="0">
      <text>
        <r>
          <rPr>
            <sz val="9"/>
            <color indexed="81"/>
            <rFont val="Tahoma"/>
            <family val="2"/>
          </rPr>
          <t xml:space="preserve">Le % des FIR de l'insitution de recherche versé par MEDTEQ s'applique uniquement sur les postes de dépenses PERSONNEL, MATÉRIEL ET CONSOMMABLES et DÉPLACEMENT.
</t>
        </r>
      </text>
    </comment>
    <comment ref="G55" authorId="0" shapeId="0">
      <text>
        <r>
          <rPr>
            <b/>
            <sz val="9"/>
            <color indexed="81"/>
            <rFont val="Tahoma"/>
            <family val="2"/>
          </rPr>
          <t>Iris Leroux:</t>
        </r>
        <r>
          <rPr>
            <sz val="9"/>
            <color indexed="81"/>
            <rFont val="Tahoma"/>
            <family val="2"/>
          </rPr>
          <t xml:space="preserve">
Le montant des FIR de l'insitution de recherche versé par d'autres organismes subventionnaires n'est pas estimé par MEDTEQ.</t>
        </r>
      </text>
    </comment>
  </commentList>
</comments>
</file>

<file path=xl/sharedStrings.xml><?xml version="1.0" encoding="utf-8"?>
<sst xmlns="http://schemas.openxmlformats.org/spreadsheetml/2006/main" count="821" uniqueCount="371">
  <si>
    <t>Institut TransMedTech</t>
  </si>
  <si>
    <t>Oncopole</t>
  </si>
  <si>
    <t>SRC</t>
  </si>
  <si>
    <t>Industriel (inkind)</t>
  </si>
  <si>
    <t>Industriel (cash)</t>
  </si>
  <si>
    <t>% projet</t>
  </si>
  <si>
    <t>Coûts directs du projet</t>
  </si>
  <si>
    <t>Montant ($)</t>
  </si>
  <si>
    <t>Sans TMT</t>
  </si>
  <si>
    <t>Avec TMT</t>
  </si>
  <si>
    <t>% projet (max)</t>
  </si>
  <si>
    <t>MEDTEQ (fixe)</t>
  </si>
  <si>
    <t>TRL 4-5</t>
  </si>
  <si>
    <t>Fonds publics</t>
  </si>
  <si>
    <t>Fonds privés</t>
  </si>
  <si>
    <t>Nature</t>
  </si>
  <si>
    <t>Oncopole (max)</t>
  </si>
  <si>
    <t>Industriel (cash) min</t>
  </si>
  <si>
    <t>Classique</t>
  </si>
  <si>
    <t xml:space="preserve">MEDTEQ </t>
  </si>
  <si>
    <t>Industriel 2 (min)</t>
  </si>
  <si>
    <t>Exemple budget total</t>
  </si>
  <si>
    <t>Reste</t>
  </si>
  <si>
    <t>Industriel (min)</t>
  </si>
  <si>
    <t>SRC + Oncopole (max)</t>
  </si>
  <si>
    <t>La part industrielle doit avoir un rapport de 4 avec la contribution maximale de la SRC + Oncopole qui est de 225 000$ combinée</t>
  </si>
  <si>
    <t>Coûts directs + frais de gestion</t>
  </si>
  <si>
    <t>SRC (max)</t>
  </si>
  <si>
    <t>Autre + SRC (min 37500$)</t>
  </si>
  <si>
    <t>Max/Min</t>
  </si>
  <si>
    <t>Coût total min</t>
  </si>
  <si>
    <t>SRC + Oncopole</t>
  </si>
  <si>
    <t>4 projets, contribution SRC + Oncopole</t>
  </si>
  <si>
    <t>TRL 2-3</t>
  </si>
  <si>
    <t>Oncopole = MERCK = cash industriel</t>
  </si>
  <si>
    <t>Oncopole/MERCK (max 187 500$)</t>
  </si>
  <si>
    <t>Contribution maximale SRC</t>
  </si>
  <si>
    <t>20% min</t>
  </si>
  <si>
    <t>Industriel 1</t>
  </si>
  <si>
    <t>total 60%</t>
  </si>
  <si>
    <t>Industriel 2</t>
  </si>
  <si>
    <t>MEDTEQ</t>
  </si>
  <si>
    <t>MERCK</t>
  </si>
  <si>
    <t>Ind</t>
  </si>
  <si>
    <t>Total dépenses</t>
  </si>
  <si>
    <t>Frais de gestion</t>
  </si>
  <si>
    <t>Chargé au MÉI</t>
  </si>
  <si>
    <t>Chargé à l'industriel</t>
  </si>
  <si>
    <t>Total du projet</t>
  </si>
  <si>
    <t>MEDTEQ (40%)</t>
  </si>
  <si>
    <t>SUM</t>
  </si>
  <si>
    <t>Oncopole (max.$187,500.)</t>
  </si>
  <si>
    <t>SRC (max. $37,500.)</t>
  </si>
  <si>
    <t>Industriel</t>
  </si>
  <si>
    <t xml:space="preserve">Industriel </t>
  </si>
  <si>
    <t>iTMT</t>
  </si>
  <si>
    <t>MEDTEQ (20%)</t>
  </si>
  <si>
    <t>FIR</t>
  </si>
  <si>
    <t>Membership</t>
  </si>
  <si>
    <t>TOTAL</t>
  </si>
  <si>
    <t>TRL</t>
  </si>
  <si>
    <t>CR ou Uni</t>
  </si>
  <si>
    <t>2-3</t>
  </si>
  <si>
    <t>4-5</t>
  </si>
  <si>
    <t>Avec TransMedTech</t>
  </si>
  <si>
    <t>Sans TransMedTech</t>
  </si>
  <si>
    <t>TransMedTech</t>
  </si>
  <si>
    <t>Centre de Recherche</t>
  </si>
  <si>
    <t>Université</t>
  </si>
  <si>
    <t>ANNÉE</t>
  </si>
  <si>
    <t>PERSONNEL</t>
  </si>
  <si>
    <t>- Étudiant(s)</t>
  </si>
  <si>
    <t>- Technicien(s)</t>
  </si>
  <si>
    <t>- Autres</t>
  </si>
  <si>
    <t>MATÉRIEL ET CONSOMMABLES</t>
  </si>
  <si>
    <t xml:space="preserve">·  Matériaux et fournitures </t>
  </si>
  <si>
    <t xml:space="preserve">·  Frais d’utilisation </t>
  </si>
  <si>
    <t xml:space="preserve">·  Autres </t>
  </si>
  <si>
    <t>DIFFUSION DES CONNAISSANCES</t>
  </si>
  <si>
    <t xml:space="preserve">·  Conférence </t>
  </si>
  <si>
    <t xml:space="preserve">·  Frais de voyage </t>
  </si>
  <si>
    <t xml:space="preserve">·  Frais liés à la diffusion </t>
  </si>
  <si>
    <t xml:space="preserve">AUTRES DÉPENSES </t>
  </si>
  <si>
    <t xml:space="preserve">·  Préciser </t>
  </si>
  <si>
    <t>TOTAL DU COÛT DE LA RECHERCHE</t>
  </si>
  <si>
    <t>FRAIS DE GESTION (FG)  (5%)</t>
  </si>
  <si>
    <t>Part du MESI  (2%)</t>
  </si>
  <si>
    <t>Part industrielle (3%) *</t>
  </si>
  <si>
    <t>TOTAL DES DÉPENSES ADMISSIBLES</t>
  </si>
  <si>
    <t>CÔUT TOTAL ADMISSIBLE DU PROJET</t>
  </si>
  <si>
    <t>BUDGET DE RECHERCHE DÉTAILLÉ</t>
  </si>
  <si>
    <t>Sélectionnez</t>
  </si>
  <si>
    <t>N/A</t>
  </si>
  <si>
    <t>PARTENAIRE(S) INDUSTRIEL</t>
  </si>
  <si>
    <t>RÉPARTITION DU FINANCEMENT</t>
  </si>
  <si>
    <t>Séparation du coût total admissible du projet</t>
  </si>
  <si>
    <t>En espèce (FG inclus)</t>
  </si>
  <si>
    <t>En nature</t>
  </si>
  <si>
    <t>Frais indirects de recherche</t>
  </si>
  <si>
    <t>(FIR)</t>
  </si>
  <si>
    <t>(avant taxes)</t>
  </si>
  <si>
    <t>Total demandé au(x) industriel(s)</t>
  </si>
  <si>
    <t>Validation ou écart</t>
  </si>
  <si>
    <t>$$$</t>
  </si>
  <si>
    <t>%</t>
  </si>
  <si>
    <t>PARTENAIRES PUBLICS</t>
  </si>
  <si>
    <t>Oncopôle</t>
  </si>
  <si>
    <t>Oui</t>
  </si>
  <si>
    <t>Non</t>
  </si>
  <si>
    <t>Frais d'adhésion MEDTEQ</t>
  </si>
  <si>
    <t>Industriels</t>
  </si>
  <si>
    <t>Membre MEDTEQ?</t>
  </si>
  <si>
    <t>Chiffre d'affaire de l'organisation</t>
  </si>
  <si>
    <t>Moins de deux ans d'activité</t>
  </si>
  <si>
    <t>Plus de 50 M$</t>
  </si>
  <si>
    <t>Moins de 5 M$</t>
  </si>
  <si>
    <t>Pourcentage pour le calcul des FIR</t>
  </si>
  <si>
    <t>Etablissements de recherche (De A à Z)</t>
  </si>
  <si>
    <t>CIMMI</t>
  </si>
  <si>
    <t>Concordia</t>
  </si>
  <si>
    <t>CRCHU de Québec</t>
  </si>
  <si>
    <t>CRCHUM</t>
  </si>
  <si>
    <t xml:space="preserve">CRCHUS </t>
  </si>
  <si>
    <t>CRCHUSJ</t>
  </si>
  <si>
    <t>École de Technologie Supérieure</t>
  </si>
  <si>
    <t>Groupe CTT</t>
  </si>
  <si>
    <t>IILM</t>
  </si>
  <si>
    <t>INO</t>
  </si>
  <si>
    <t>INRS</t>
  </si>
  <si>
    <t>Institut de Cardiologie de Montréal</t>
  </si>
  <si>
    <t>IR-CUSM</t>
  </si>
  <si>
    <t>OPTECH</t>
  </si>
  <si>
    <t>Polytechnique Montréal</t>
  </si>
  <si>
    <t>TOPMED</t>
  </si>
  <si>
    <t>Université de Laval</t>
  </si>
  <si>
    <t>Université de Montréal</t>
  </si>
  <si>
    <t>Université de Sherbrooke</t>
  </si>
  <si>
    <t>Université du Québec à Montréal</t>
  </si>
  <si>
    <t>Université McGill</t>
  </si>
  <si>
    <t>Frais indirects de recherche (FIR)</t>
  </si>
  <si>
    <t>Montant in-kind</t>
  </si>
  <si>
    <t>Ind. In-kind</t>
  </si>
  <si>
    <t>In-kind admissible</t>
  </si>
  <si>
    <t/>
  </si>
  <si>
    <t>Instructions</t>
  </si>
  <si>
    <t>SOMMAIRE</t>
  </si>
  <si>
    <t>Coûts direct</t>
  </si>
  <si>
    <t>Information sur le projet</t>
  </si>
  <si>
    <t>Répartition du financement</t>
  </si>
  <si>
    <t>Montant</t>
  </si>
  <si>
    <t>Montant au projet</t>
  </si>
  <si>
    <t>FG</t>
  </si>
  <si>
    <t>Frais d'adhésion</t>
  </si>
  <si>
    <t>Total</t>
  </si>
  <si>
    <t>Partenaires non publics (privé, industriel, OBNL, fondations)</t>
  </si>
  <si>
    <t>Partenaires financiers du projet</t>
  </si>
  <si>
    <t>Industriels/partenaire privés</t>
  </si>
  <si>
    <t>Type d'organisation</t>
  </si>
  <si>
    <t>Société de consultation</t>
  </si>
  <si>
    <r>
      <t>☐</t>
    </r>
    <r>
      <rPr>
        <sz val="10"/>
        <color theme="1"/>
        <rFont val="Arial"/>
        <family val="2"/>
      </rPr>
      <t xml:space="preserve"> Université</t>
    </r>
  </si>
  <si>
    <t xml:space="preserve">  4 000 $</t>
  </si>
  <si>
    <r>
      <t>☐</t>
    </r>
    <r>
      <rPr>
        <sz val="10"/>
        <color theme="1"/>
        <rFont val="Arial"/>
        <family val="2"/>
      </rPr>
      <t xml:space="preserve"> CCTT </t>
    </r>
    <r>
      <rPr>
        <sz val="9"/>
        <color theme="1"/>
        <rFont val="Arial"/>
        <family val="2"/>
      </rPr>
      <t>(Centre collégial de transfert technologique)</t>
    </r>
  </si>
  <si>
    <t>1 800 $</t>
  </si>
  <si>
    <r>
      <t>☐</t>
    </r>
    <r>
      <rPr>
        <sz val="10"/>
        <color theme="1"/>
        <rFont val="Arial"/>
        <family val="2"/>
      </rPr>
      <t xml:space="preserve"> Centre de recherche </t>
    </r>
  </si>
  <si>
    <r>
      <t>Établissement du réseau de la santé et des services sociaux</t>
    </r>
    <r>
      <rPr>
        <sz val="4"/>
        <color theme="1"/>
        <rFont val="Arial"/>
        <family val="2"/>
      </rPr>
      <t> </t>
    </r>
  </si>
  <si>
    <r>
      <t>☐</t>
    </r>
    <r>
      <rPr>
        <sz val="10"/>
        <color theme="1"/>
        <rFont val="Arial"/>
        <family val="2"/>
      </rPr>
      <t xml:space="preserve"> CHU, CIUSSS et Institut</t>
    </r>
  </si>
  <si>
    <t>4 000 $</t>
  </si>
  <si>
    <t>Société de consultation </t>
  </si>
  <si>
    <r>
      <t>☐</t>
    </r>
    <r>
      <rPr>
        <sz val="10"/>
        <color theme="1"/>
        <rFont val="Arial"/>
        <family val="2"/>
      </rPr>
      <t xml:space="preserve"> Moins de 10 M$ </t>
    </r>
  </si>
  <si>
    <r>
      <t>☐</t>
    </r>
    <r>
      <rPr>
        <sz val="10"/>
        <color theme="1"/>
        <rFont val="Arial"/>
        <family val="2"/>
      </rPr>
      <t xml:space="preserve"> Plus de 10 M$</t>
    </r>
  </si>
  <si>
    <t>7 500 $</t>
  </si>
  <si>
    <t>Membre académique et du réseau de la santé :</t>
  </si>
  <si>
    <r>
      <t>☐</t>
    </r>
    <r>
      <rPr>
        <sz val="10"/>
        <color theme="1"/>
        <rFont val="Arial"/>
        <family val="2"/>
      </rPr>
      <t xml:space="preserve"> CISSS</t>
    </r>
  </si>
  <si>
    <t>Organisation caritative et fondation :</t>
  </si>
  <si>
    <t>En fonction des fonds de recherche de l’organisation</t>
  </si>
  <si>
    <r>
      <t>☐</t>
    </r>
    <r>
      <rPr>
        <sz val="10"/>
        <color theme="1"/>
        <rFont val="Arial"/>
        <family val="2"/>
      </rPr>
      <t xml:space="preserve"> Moins de 5 M$ </t>
    </r>
  </si>
  <si>
    <t xml:space="preserve">    850 $</t>
  </si>
  <si>
    <r>
      <t>☐</t>
    </r>
    <r>
      <rPr>
        <sz val="10"/>
        <color theme="1"/>
        <rFont val="Arial"/>
        <family val="2"/>
      </rPr>
      <t xml:space="preserve"> Plus de 5 M$ </t>
    </r>
  </si>
  <si>
    <t xml:space="preserve"> 1 800 $</t>
  </si>
  <si>
    <t>Autres catégories :</t>
  </si>
  <si>
    <t xml:space="preserve"> </t>
  </si>
  <si>
    <r>
      <t>☐</t>
    </r>
    <r>
      <rPr>
        <sz val="10"/>
        <color theme="1"/>
        <rFont val="Arial"/>
        <family val="2"/>
      </rPr>
      <t xml:space="preserve"> Groupe d’intérêt, fédération </t>
    </r>
  </si>
  <si>
    <t xml:space="preserve">     850 $</t>
  </si>
  <si>
    <r>
      <t>☐</t>
    </r>
    <r>
      <rPr>
        <sz val="10"/>
        <color theme="1"/>
        <rFont val="Arial"/>
        <family val="2"/>
      </rPr>
      <t xml:space="preserve"> Incubateur, accélérateur</t>
    </r>
  </si>
  <si>
    <t xml:space="preserve">  5 000 $</t>
  </si>
  <si>
    <r>
      <t>☐</t>
    </r>
    <r>
      <rPr>
        <sz val="10"/>
        <color theme="1"/>
        <rFont val="Arial"/>
        <family val="2"/>
      </rPr>
      <t xml:space="preserve"> Société de valorisation</t>
    </r>
  </si>
  <si>
    <t xml:space="preserve">  5 000 $</t>
  </si>
  <si>
    <r>
      <t>☐</t>
    </r>
    <r>
      <rPr>
        <sz val="10"/>
        <color theme="1"/>
        <rFont val="Arial"/>
        <family val="2"/>
      </rPr>
      <t xml:space="preserve"> Organisme international (</t>
    </r>
    <r>
      <rPr>
        <sz val="8"/>
        <color theme="1"/>
        <rFont val="Arial"/>
        <family val="2"/>
      </rPr>
      <t>dollars canadiens (CAD))</t>
    </r>
  </si>
  <si>
    <r>
      <t>☐</t>
    </r>
    <r>
      <rPr>
        <sz val="10"/>
        <color theme="1"/>
        <rFont val="Arial"/>
        <family val="2"/>
      </rPr>
      <t xml:space="preserve"> </t>
    </r>
    <r>
      <rPr>
        <b/>
        <sz val="10"/>
        <color theme="1"/>
        <rFont val="Arial"/>
        <family val="2"/>
      </rPr>
      <t>Membre associé </t>
    </r>
  </si>
  <si>
    <t>5 000 $</t>
  </si>
  <si>
    <t xml:space="preserve">Catégorie </t>
  </si>
  <si>
    <t>Détail de la contribution industrielle</t>
  </si>
  <si>
    <t>3. BUDGET DE RECHERCHE DÉTAILLÉ</t>
  </si>
  <si>
    <t>1. INFORMATIONS SUR LE PROJET</t>
  </si>
  <si>
    <t>2. PARTENAIRES AU PROJET</t>
  </si>
  <si>
    <t>4. RÉPARTITION DU FINANCEMENT</t>
  </si>
  <si>
    <t>NMT (TRL)</t>
  </si>
  <si>
    <t>Membre industriel</t>
  </si>
  <si>
    <t>CCTT</t>
  </si>
  <si>
    <t>Centre de recherche</t>
  </si>
  <si>
    <t>CHU</t>
  </si>
  <si>
    <t>CIUSSS</t>
  </si>
  <si>
    <t>CISSS</t>
  </si>
  <si>
    <t>Organisation caritative</t>
  </si>
  <si>
    <t>Groupe d'intérêt</t>
  </si>
  <si>
    <t>Fédération</t>
  </si>
  <si>
    <t>Incubateur / accélérateur</t>
  </si>
  <si>
    <t>Société de valorisation</t>
  </si>
  <si>
    <t>Organisme international</t>
  </si>
  <si>
    <t>Chercheur Principal (1)</t>
  </si>
  <si>
    <t>Co-Chercheur Principal (2)</t>
  </si>
  <si>
    <t>Institution affiliée au chercheur principal (1)</t>
  </si>
  <si>
    <t>Institution affiliée au co-chercheur principal (2)</t>
  </si>
  <si>
    <t>Prénom, nom du chercheur principal (1)</t>
  </si>
  <si>
    <t>Prénom, nom du chercheur principal (2)</t>
  </si>
  <si>
    <t>Établissement de recherche (1)</t>
  </si>
  <si>
    <t>Aucun</t>
  </si>
  <si>
    <t>Fondation</t>
  </si>
  <si>
    <t>Institut</t>
  </si>
  <si>
    <t>De 5 M$ à 10 M$</t>
  </si>
  <si>
    <t>De 10 M$ à 50 M$</t>
  </si>
  <si>
    <t>Concours Onco-Tech</t>
  </si>
  <si>
    <t>Langue</t>
  </si>
  <si>
    <t>Language</t>
  </si>
  <si>
    <t>ENG</t>
  </si>
  <si>
    <t>Research Institute (1)</t>
  </si>
  <si>
    <t>Industrial</t>
  </si>
  <si>
    <t>Select</t>
  </si>
  <si>
    <t>Laval University</t>
  </si>
  <si>
    <t>Montreal University</t>
  </si>
  <si>
    <t>Sherbrooke University</t>
  </si>
  <si>
    <t>McGill University</t>
  </si>
  <si>
    <t>RI-MUHC</t>
  </si>
  <si>
    <t>None</t>
  </si>
  <si>
    <t>Industrial Member</t>
  </si>
  <si>
    <t>Consulting firm</t>
  </si>
  <si>
    <t>University</t>
  </si>
  <si>
    <t>Research Center</t>
  </si>
  <si>
    <t>Institute</t>
  </si>
  <si>
    <t>UHC</t>
  </si>
  <si>
    <t>Chritable organization</t>
  </si>
  <si>
    <t>Interest group</t>
  </si>
  <si>
    <t>Federation</t>
  </si>
  <si>
    <t>Incubators / accelerators</t>
  </si>
  <si>
    <t>Technology transfer organization</t>
  </si>
  <si>
    <t>International Member</t>
  </si>
  <si>
    <t>With TransMedTech</t>
  </si>
  <si>
    <t>Without TransMedTech</t>
  </si>
  <si>
    <t>Yes</t>
  </si>
  <si>
    <t>No</t>
  </si>
  <si>
    <t>Less than 2 years of activity</t>
  </si>
  <si>
    <t>Less than $5M</t>
  </si>
  <si>
    <t>From $5M to $10M</t>
  </si>
  <si>
    <t>From $10M to $50M</t>
  </si>
  <si>
    <t>More than $50M</t>
  </si>
  <si>
    <t>IR-CUSM / RI-MUHC</t>
  </si>
  <si>
    <t>Sélectionnez / Select</t>
  </si>
  <si>
    <t>Compagnie / Compagny</t>
  </si>
  <si>
    <t>Société de consultation / Consulting firm</t>
  </si>
  <si>
    <t>Université / University</t>
  </si>
  <si>
    <t>Centre de recherche / Research Center</t>
  </si>
  <si>
    <t>Institut / Institute</t>
  </si>
  <si>
    <t>CHU / UHC</t>
  </si>
  <si>
    <t>Organisation caritative / Charitable organization</t>
  </si>
  <si>
    <t>Groupe d'intérêt / Interest group</t>
  </si>
  <si>
    <t>Fédération / Federation</t>
  </si>
  <si>
    <t>Organisme international / International Member</t>
  </si>
  <si>
    <t>Moins de deux ans d'activité / Less than 2 years of activity</t>
  </si>
  <si>
    <t>5 M$ - 10 M$</t>
  </si>
  <si>
    <t>10 M$ - 50 M$</t>
  </si>
  <si>
    <t>Plus de / More than 50 M$</t>
  </si>
  <si>
    <t>Oui / Yes</t>
  </si>
  <si>
    <t>Non / No</t>
  </si>
  <si>
    <t>Avec / With TransMedTech</t>
  </si>
  <si>
    <t>Sans / Without TransMedTech</t>
  </si>
  <si>
    <t>TRL (NMT)</t>
  </si>
  <si>
    <t>Charitable organization</t>
  </si>
  <si>
    <t>Incubator / accelerator</t>
  </si>
  <si>
    <t>Incubateur-accélérateur / Incubator-accelerator</t>
  </si>
  <si>
    <t>Société de valorisation / Technology transfer organization</t>
  </si>
  <si>
    <t>Moins de / Less than 5 M$</t>
  </si>
  <si>
    <t>NMT (TRL) de projet</t>
  </si>
  <si>
    <t>Name, Last name of the P.I. (1)</t>
  </si>
  <si>
    <t>Industrial/Private partner</t>
  </si>
  <si>
    <t>2. PROJECT PARTNERS</t>
  </si>
  <si>
    <t>Type of organization</t>
  </si>
  <si>
    <t>MEDTEQ member?</t>
  </si>
  <si>
    <t>Category</t>
  </si>
  <si>
    <t>3. DETAILED PROJECT BUDGET</t>
  </si>
  <si>
    <t>YEAR</t>
  </si>
  <si>
    <t>- Student(s)</t>
  </si>
  <si>
    <t>- Other</t>
  </si>
  <si>
    <t>MATERIAL AND CONSUMMABLES</t>
  </si>
  <si>
    <t xml:space="preserve">·  Materials and supplies </t>
  </si>
  <si>
    <t xml:space="preserve">·  Users fees </t>
  </si>
  <si>
    <t>·  Others</t>
  </si>
  <si>
    <t>KNOWLEDGE TRANSFER</t>
  </si>
  <si>
    <t>·  Conference</t>
  </si>
  <si>
    <t>·  Travel Fees</t>
  </si>
  <si>
    <t>·  Publication expenses</t>
  </si>
  <si>
    <t>OTHER EXPENDITURES</t>
  </si>
  <si>
    <t>·  Specify</t>
  </si>
  <si>
    <t>RESEARCH COST TOTAL</t>
  </si>
  <si>
    <t>Management fees (MGMT Fees)  (5%)</t>
  </si>
  <si>
    <t>MÉI part  (2%)</t>
  </si>
  <si>
    <t>Industrial partner(s) part (3%)</t>
  </si>
  <si>
    <t>ELIGIBLE EXPENSES TOTAL</t>
  </si>
  <si>
    <t>TOTAL ELIGIBLE PROJECT COST</t>
  </si>
  <si>
    <t>4. FUNDING DISTRIBUTION</t>
  </si>
  <si>
    <t>In-cash (MGMT included)</t>
  </si>
  <si>
    <t>In-kind</t>
  </si>
  <si>
    <t>MEDTEQ joining fees</t>
  </si>
  <si>
    <t>(before taxes)</t>
  </si>
  <si>
    <t>Validation or deviation</t>
  </si>
  <si>
    <t>CRS</t>
  </si>
  <si>
    <t>Total of asked of the contest's partners</t>
  </si>
  <si>
    <t>5. SUMMARY</t>
  </si>
  <si>
    <t>Project information</t>
  </si>
  <si>
    <t>Principal Investigator (1)</t>
  </si>
  <si>
    <t>Non-public partners (private, industrial, NPO, fondations)</t>
  </si>
  <si>
    <t>Project financing partners</t>
  </si>
  <si>
    <t>Amount</t>
  </si>
  <si>
    <t>MGMT</t>
  </si>
  <si>
    <t>Distribution of funding</t>
  </si>
  <si>
    <t>Onco-Tech Contest</t>
  </si>
  <si>
    <t>Total needed from the private sector</t>
  </si>
  <si>
    <t>Eligible project cost distribution from the private sector</t>
  </si>
  <si>
    <t>*TRL = Tehcnologie Readiness Level</t>
  </si>
  <si>
    <t>*NMT = Niveau de Maturation Technologique</t>
  </si>
  <si>
    <t>*FG = Frais de Gestion</t>
  </si>
  <si>
    <t>*FIR = Frais Indirects de Recherche</t>
  </si>
  <si>
    <t>*SRC = Société de Recherche sur le Cancer</t>
  </si>
  <si>
    <t>Details of the industrial contribution</t>
  </si>
  <si>
    <t>*MGMT = Management Fees</t>
  </si>
  <si>
    <t>1. PROJECT INFORMATION</t>
  </si>
  <si>
    <t>Project TRL</t>
  </si>
  <si>
    <t>** Les abréviations se retrouvent en bas de la page</t>
  </si>
  <si>
    <t>Payé par le MÉI  (2%)</t>
  </si>
  <si>
    <t>5.SOMMAIRE</t>
  </si>
  <si>
    <r>
      <rPr>
        <b/>
        <sz val="12"/>
        <color theme="1"/>
        <rFont val="Calibri"/>
        <family val="2"/>
        <scheme val="minor"/>
      </rPr>
      <t>2-</t>
    </r>
    <r>
      <rPr>
        <sz val="12"/>
        <color theme="1"/>
        <rFont val="Calibri"/>
        <family val="2"/>
        <scheme val="minor"/>
      </rPr>
      <t xml:space="preserve"> Entrer le nom de l'industrie partenaire dans le tableau ''</t>
    </r>
    <r>
      <rPr>
        <b/>
        <sz val="12"/>
        <color theme="1"/>
        <rFont val="Calibri"/>
        <family val="2"/>
        <scheme val="minor"/>
      </rPr>
      <t>2.Partenaires au projet</t>
    </r>
    <r>
      <rPr>
        <sz val="12"/>
        <color theme="1"/>
        <rFont val="Calibri"/>
        <family val="2"/>
        <scheme val="minor"/>
      </rPr>
      <t>'', et compléter les informations sur la ou les organisation(s) (listes déroulantes des cases à droite).</t>
    </r>
  </si>
  <si>
    <r>
      <rPr>
        <b/>
        <sz val="12"/>
        <color theme="1"/>
        <rFont val="Calibri"/>
        <family val="2"/>
        <scheme val="minor"/>
      </rPr>
      <t>5-</t>
    </r>
    <r>
      <rPr>
        <sz val="12"/>
        <color theme="1"/>
        <rFont val="Calibri"/>
        <family val="2"/>
        <scheme val="minor"/>
      </rPr>
      <t xml:space="preserve"> Le tableau ''</t>
    </r>
    <r>
      <rPr>
        <b/>
        <sz val="12"/>
        <color theme="1"/>
        <rFont val="Calibri"/>
        <family val="2"/>
        <scheme val="minor"/>
      </rPr>
      <t>5. Sommaire</t>
    </r>
    <r>
      <rPr>
        <sz val="12"/>
        <color theme="1"/>
        <rFont val="Calibri"/>
        <family val="2"/>
        <scheme val="minor"/>
      </rPr>
      <t>'' est généré automatiquement et récapitule les données de montage financier liées au projet.</t>
    </r>
  </si>
  <si>
    <t>Coût total admissible du projet (incluant FG, et Contribution en nature industrielle si NMT 4-5)</t>
  </si>
  <si>
    <r>
      <rPr>
        <b/>
        <sz val="12"/>
        <color theme="1"/>
        <rFont val="Calibri"/>
        <family val="2"/>
        <scheme val="minor"/>
      </rPr>
      <t>3-</t>
    </r>
    <r>
      <rPr>
        <sz val="12"/>
        <color theme="1"/>
        <rFont val="Calibri"/>
        <family val="2"/>
        <scheme val="minor"/>
      </rPr>
      <t xml:space="preserve"> Incrire les dépenses liées au projet dans les postes budgétaires correspondants, dans le cases jaunes du tableau ''</t>
    </r>
    <r>
      <rPr>
        <b/>
        <sz val="12"/>
        <color theme="1"/>
        <rFont val="Calibri"/>
        <family val="2"/>
        <scheme val="minor"/>
      </rPr>
      <t>3. Budget de Recherche Détaillé</t>
    </r>
    <r>
      <rPr>
        <sz val="12"/>
        <color theme="1"/>
        <rFont val="Calibri"/>
        <family val="2"/>
        <scheme val="minor"/>
      </rPr>
      <t xml:space="preserve">''. Prendre note que pour les projets de NMT 4-5, une contribution en nature de la part des partenaires industriels est requise.  Celle ci sera calculée automatiquement et indiquée à </t>
    </r>
    <r>
      <rPr>
        <b/>
        <sz val="12"/>
        <color theme="1"/>
        <rFont val="Calibri"/>
        <family val="2"/>
        <scheme val="minor"/>
      </rPr>
      <t>la ligne B51</t>
    </r>
    <r>
      <rPr>
        <sz val="12"/>
        <color theme="1"/>
        <rFont val="Calibri"/>
        <family val="2"/>
        <scheme val="minor"/>
      </rPr>
      <t xml:space="preserve">. 
Veuillez indiquer à la </t>
    </r>
    <r>
      <rPr>
        <b/>
        <sz val="12"/>
        <color theme="1"/>
        <rFont val="Calibri"/>
        <family val="2"/>
        <scheme val="minor"/>
      </rPr>
      <t>case G51</t>
    </r>
    <r>
      <rPr>
        <sz val="12"/>
        <color theme="1"/>
        <rFont val="Calibri"/>
        <family val="2"/>
        <scheme val="minor"/>
      </rPr>
      <t xml:space="preserve">, puis à la </t>
    </r>
    <r>
      <rPr>
        <b/>
        <sz val="12"/>
        <color theme="1"/>
        <rFont val="Calibri"/>
        <family val="2"/>
        <scheme val="minor"/>
      </rPr>
      <t>case E60</t>
    </r>
    <r>
      <rPr>
        <sz val="12"/>
        <color theme="1"/>
        <rFont val="Calibri"/>
        <family val="2"/>
        <scheme val="minor"/>
      </rPr>
      <t xml:space="preserve"> le montant équivalent à la contribution en nature industriel rèel (égal ou inférieur au montant maximal admissible suggéré à la </t>
    </r>
    <r>
      <rPr>
        <b/>
        <sz val="12"/>
        <color theme="1"/>
        <rFont val="Calibri"/>
        <family val="2"/>
        <scheme val="minor"/>
      </rPr>
      <t>ligne B51</t>
    </r>
    <r>
      <rPr>
        <sz val="12"/>
        <color theme="1"/>
        <rFont val="Calibri"/>
        <family val="2"/>
        <scheme val="minor"/>
      </rPr>
      <t xml:space="preserve">). La case devient rouge si le montant excède la limite de 20% du budget de projet total. 
</t>
    </r>
  </si>
  <si>
    <t>FRA</t>
  </si>
  <si>
    <t xml:space="preserve">Jewish General Hospital </t>
  </si>
  <si>
    <t>TransMedTech Institute</t>
  </si>
  <si>
    <r>
      <rPr>
        <b/>
        <sz val="14"/>
        <color theme="1"/>
        <rFont val="Calibri"/>
        <family val="2"/>
        <scheme val="minor"/>
      </rPr>
      <t>1-</t>
    </r>
    <r>
      <rPr>
        <sz val="14"/>
        <color theme="1"/>
        <rFont val="Calibri"/>
        <family val="2"/>
        <scheme val="minor"/>
      </rPr>
      <t xml:space="preserve"> Fill the table ''1.Project Information'' board. </t>
    </r>
  </si>
  <si>
    <r>
      <rPr>
        <b/>
        <sz val="12"/>
        <color theme="1"/>
        <rFont val="Calibri"/>
        <family val="2"/>
        <scheme val="minor"/>
      </rPr>
      <t>1-</t>
    </r>
    <r>
      <rPr>
        <sz val="12"/>
        <color theme="1"/>
        <rFont val="Calibri"/>
        <family val="2"/>
        <scheme val="minor"/>
      </rPr>
      <t xml:space="preserve"> Remplir le tableau ''</t>
    </r>
    <r>
      <rPr>
        <b/>
        <sz val="12"/>
        <color theme="1"/>
        <rFont val="Calibri"/>
        <family val="2"/>
        <scheme val="minor"/>
      </rPr>
      <t>1. Informations sur le projet</t>
    </r>
    <r>
      <rPr>
        <sz val="12"/>
        <color theme="1"/>
        <rFont val="Calibri"/>
        <family val="2"/>
        <scheme val="minor"/>
      </rPr>
      <t>''.</t>
    </r>
  </si>
  <si>
    <t>Total eligible project costs (Including the management fees and the In-Kind contribution if the project is a TRL 4-5)</t>
  </si>
  <si>
    <r>
      <rPr>
        <b/>
        <sz val="12"/>
        <color theme="1"/>
        <rFont val="Calibri"/>
        <family val="2"/>
        <scheme val="minor"/>
      </rPr>
      <t>4-</t>
    </r>
    <r>
      <rPr>
        <sz val="12"/>
        <color theme="1"/>
        <rFont val="Calibri"/>
        <family val="2"/>
        <scheme val="minor"/>
      </rPr>
      <t xml:space="preserve">  Inscrire le montant de la contribution industrielle réel en espèces et en nature nécessaire des industriels respectivement aux cases C60 et E60. Un "OK" en vert indique que le montage financier est équilibré.</t>
    </r>
  </si>
  <si>
    <t xml:space="preserve">Payé par les partenaires industriels (3%) </t>
  </si>
  <si>
    <t>En espèces (FG inclus)</t>
  </si>
  <si>
    <t>Total demandé aux partenaires du concours</t>
  </si>
  <si>
    <t>Informations sur le projet</t>
  </si>
  <si>
    <t>Partenaires non publics (privés, industriels, OBNL, fondations)</t>
  </si>
  <si>
    <r>
      <rPr>
        <b/>
        <sz val="14"/>
        <color theme="1"/>
        <rFont val="Calibri"/>
        <family val="2"/>
        <scheme val="minor"/>
      </rPr>
      <t xml:space="preserve">2- </t>
    </r>
    <r>
      <rPr>
        <sz val="14"/>
        <color theme="1"/>
        <rFont val="Calibri"/>
        <family val="2"/>
        <scheme val="minor"/>
      </rPr>
      <t>Enter the name of the industrial partner(s) in the table ''2. Project partners'' and complete the organization's information.</t>
    </r>
  </si>
  <si>
    <r>
      <rPr>
        <b/>
        <sz val="14"/>
        <color theme="1"/>
        <rFont val="Calibri"/>
        <family val="2"/>
        <scheme val="minor"/>
      </rPr>
      <t xml:space="preserve">4- Enter the actual in-cash and in-kind industrial contribution respectively in cells C60 and E60. </t>
    </r>
    <r>
      <rPr>
        <sz val="14"/>
        <color theme="1"/>
        <rFont val="Calibri"/>
        <family val="2"/>
        <scheme val="minor"/>
      </rPr>
      <t xml:space="preserve"> A green "OK" will appear once the budget is balanced.</t>
    </r>
  </si>
  <si>
    <r>
      <rPr>
        <b/>
        <sz val="14"/>
        <color theme="1"/>
        <rFont val="Calibri"/>
        <family val="2"/>
        <scheme val="minor"/>
      </rPr>
      <t>3-</t>
    </r>
    <r>
      <rPr>
        <sz val="14"/>
        <color theme="1"/>
        <rFont val="Calibri"/>
        <family val="2"/>
        <scheme val="minor"/>
      </rPr>
      <t xml:space="preserve"> Enter the project's expenses in the adequate budget item in the yellow input "3. DETAILED PROJECT BUDGET" table. Take note that for the TRL 4-5 projects, an in-kind industrial contribution is required. For such projects, indicate an amount as in-kind contribution (in cell G51) either equal or lower to the maximal industrial in-kind contribution calculated (in cell B51) and make sure to also indicate this amount in cell E60. The cell turns to red if the amount written exceed the limit of 20% industrial in-kind contribution of the project budget.</t>
    </r>
  </si>
  <si>
    <r>
      <rPr>
        <b/>
        <sz val="14"/>
        <color theme="1"/>
        <rFont val="Calibri"/>
        <family val="2"/>
        <scheme val="minor"/>
      </rPr>
      <t xml:space="preserve">5- </t>
    </r>
    <r>
      <rPr>
        <sz val="14"/>
        <color theme="1"/>
        <rFont val="Calibri"/>
        <family val="2"/>
        <scheme val="minor"/>
      </rPr>
      <t>The table ''5.summary'' is automatically generated, and summarizes the project's budget data.</t>
    </r>
  </si>
  <si>
    <r>
      <rPr>
        <b/>
        <sz val="12"/>
        <color rgb="FFFF0000"/>
        <rFont val="Calibri"/>
        <family val="2"/>
        <scheme val="minor"/>
      </rPr>
      <t xml:space="preserve">6- SOUMISSION DU BUDGET  : Veuillez soumettre le présent fichier sous format EXCEL et PDF (1 page) avec votre demande complète.  Pour générer le PDF d'une page à joindre à l'application complète, veuillez vous diriger vers la page sommaire générée dans l'onglet Excel "PrintSheet"(voir au bas de ce classeur Excel). Veuillez l'imprimer/''enregistrer sous'' la page en format PDF en utilisant la fonction ''Fit Sheet to One Page''. Pour toute question, veuillez contacter : Djazia.Liamini@medteq.ca </t>
    </r>
    <r>
      <rPr>
        <sz val="12"/>
        <color theme="1"/>
        <rFont val="Calibri"/>
        <family val="2"/>
        <scheme val="minor"/>
      </rPr>
      <t xml:space="preserve">
</t>
    </r>
  </si>
  <si>
    <r>
      <t xml:space="preserve">6- SUBMISSION OF THE DOCUMENT : Submit the present document in Excel and PDF formats along with your full application form. To generate the single-page PDF to be included within the PDF of your full application form, simply go to the summary page generated in the “PrintSheet” tab (See at the bottom of  this Excel sheet ). From this tab, print/“save as” the page in PDF format and use the "Fit Sheet to One Page" function if necessary. For any question, contact </t>
    </r>
    <r>
      <rPr>
        <b/>
        <u/>
        <sz val="14"/>
        <color theme="1"/>
        <rFont val="Calibri"/>
        <family val="2"/>
        <scheme val="minor"/>
      </rPr>
      <t>djazia.liamini@medteq.ca</t>
    </r>
    <r>
      <rPr>
        <b/>
        <sz val="14"/>
        <color theme="1"/>
        <rFont val="Calibri"/>
        <family val="2"/>
        <scheme val="minor"/>
      </rPr>
      <t>.</t>
    </r>
    <r>
      <rPr>
        <sz val="14"/>
        <color theme="1"/>
        <rFont val="Calibri"/>
        <family val="2"/>
        <scheme val="minor"/>
      </rPr>
      <t xml:space="preserve">
</t>
    </r>
  </si>
  <si>
    <t>**Abbreviations can be found at the bottom of this page</t>
  </si>
  <si>
    <t>Name, Last name of the PI (2)</t>
  </si>
  <si>
    <t>Other eligible project cost distribution</t>
  </si>
  <si>
    <t>Indirect cost of research</t>
  </si>
  <si>
    <t>Institution affiliated with the PI (2)</t>
  </si>
  <si>
    <t>Institution affiliated with the PI (1)</t>
  </si>
  <si>
    <t>Principal Investigator (2)</t>
  </si>
  <si>
    <t>Indirect costs of research</t>
  </si>
  <si>
    <t>Amount for the project</t>
  </si>
  <si>
    <t>*CRS = Cancer Research Society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</si>
</sst>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0\ &quot;$&quot;_);[Red]\(#,##0\ &quot;$&quot;\)"/>
    <numFmt numFmtId="44" formatCode="_ * #,##0.00_)\ &quot;$&quot;_ ;_ * \(#,##0.00\)\ &quot;$&quot;_ ;_ * &quot;-&quot;??_)\ &quot;$&quot;_ ;_ @_ "/>
    <numFmt numFmtId="164" formatCode="_-&quot;$&quot;* #,##0.00_-;\-&quot;$&quot;* #,##0.00_-;_-&quot;$&quot;* &quot;-&quot;??_-;_-@_-"/>
    <numFmt numFmtId="165" formatCode="0.0%"/>
    <numFmt numFmtId="166" formatCode="0.000%"/>
    <numFmt numFmtId="167" formatCode="0.0000%"/>
    <numFmt numFmtId="168" formatCode="0.000000%"/>
    <numFmt numFmtId="169" formatCode="0.0000000%"/>
    <numFmt numFmtId="170" formatCode="_(&quot;$&quot;* #,##0_);_(&quot;$&quot;* \(#,##0\);_(&quot;$&quot;* &quot;-&quot;??_);_(@_)"/>
    <numFmt numFmtId="171" formatCode="_-&quot;$&quot;* #,##0_-;\-&quot;$&quot;* #,##0_-;_-&quot;$&quot;* &quot;-&quot;??_-;_-@_-"/>
    <numFmt numFmtId="172" formatCode="_ * #,##0_)\ &quot;$&quot;_ ;_ * \(#,##0\)\ &quot;$&quot;_ ;_ * &quot;-&quot;??_)\ &quot;$&quot;_ ;_ @_ "/>
  </numFmts>
  <fonts count="38" x14ac:knownFonts="1">
    <font>
      <sz val="11"/>
      <color theme="1"/>
      <name val="Calibri"/>
      <family val="2"/>
      <scheme val="minor"/>
    </font>
    <font>
      <sz val="11"/>
      <color theme="1"/>
      <name val="Calibri"/>
      <family val="2"/>
      <scheme val="minor"/>
    </font>
    <font>
      <b/>
      <sz val="11"/>
      <color rgb="FFFF0000"/>
      <name val="Calibri"/>
      <family val="2"/>
      <scheme val="minor"/>
    </font>
    <font>
      <sz val="11"/>
      <color rgb="FF9C0006"/>
      <name val="Calibri"/>
      <family val="2"/>
      <scheme val="minor"/>
    </font>
    <font>
      <b/>
      <sz val="11"/>
      <color theme="1"/>
      <name val="Calibri"/>
      <family val="2"/>
      <scheme val="minor"/>
    </font>
    <font>
      <b/>
      <sz val="9"/>
      <color indexed="81"/>
      <name val="Tahoma"/>
      <family val="2"/>
    </font>
    <font>
      <sz val="9"/>
      <color indexed="81"/>
      <name val="Tahoma"/>
      <family val="2"/>
    </font>
    <font>
      <b/>
      <sz val="18"/>
      <color theme="1"/>
      <name val="Arial"/>
      <family val="2"/>
    </font>
    <font>
      <b/>
      <sz val="10"/>
      <color theme="1"/>
      <name val="Arial"/>
      <family val="2"/>
    </font>
    <font>
      <sz val="10"/>
      <color theme="1"/>
      <name val="Arial"/>
      <family val="2"/>
    </font>
    <font>
      <b/>
      <sz val="10"/>
      <name val="Arial"/>
      <family val="2"/>
    </font>
    <font>
      <b/>
      <sz val="10"/>
      <color rgb="FFFF0000"/>
      <name val="Arial"/>
      <family val="2"/>
    </font>
    <font>
      <sz val="10"/>
      <name val="Arial"/>
      <family val="2"/>
    </font>
    <font>
      <sz val="11"/>
      <name val="Arial"/>
      <family val="2"/>
    </font>
    <font>
      <b/>
      <sz val="11"/>
      <color theme="1"/>
      <name val="Arial"/>
      <family val="2"/>
    </font>
    <font>
      <b/>
      <sz val="11"/>
      <name val="Arial"/>
      <family val="2"/>
    </font>
    <font>
      <b/>
      <sz val="14"/>
      <color theme="1"/>
      <name val="Arial"/>
      <family val="2"/>
    </font>
    <font>
      <b/>
      <sz val="9"/>
      <color theme="1"/>
      <name val="Arial"/>
      <family val="2"/>
    </font>
    <font>
      <sz val="10"/>
      <color theme="1" tint="0.499984740745262"/>
      <name val="Arial"/>
      <family val="2"/>
    </font>
    <font>
      <sz val="10"/>
      <color theme="1"/>
      <name val="Calibri"/>
      <family val="2"/>
      <scheme val="minor"/>
    </font>
    <font>
      <b/>
      <sz val="10"/>
      <color theme="1"/>
      <name val="Calibri"/>
      <family val="2"/>
      <scheme val="minor"/>
    </font>
    <font>
      <strike/>
      <sz val="11"/>
      <color theme="1"/>
      <name val="Calibri"/>
      <family val="2"/>
      <scheme val="minor"/>
    </font>
    <font>
      <b/>
      <sz val="12"/>
      <color theme="1"/>
      <name val="Arial"/>
      <family val="2"/>
    </font>
    <font>
      <sz val="10"/>
      <color theme="1"/>
      <name val="Segoe UI Symbol"/>
      <family val="2"/>
    </font>
    <font>
      <sz val="9"/>
      <color theme="1"/>
      <name val="Arial"/>
      <family val="2"/>
    </font>
    <font>
      <sz val="4"/>
      <color theme="1"/>
      <name val="Arial"/>
      <family val="2"/>
    </font>
    <font>
      <sz val="10"/>
      <color theme="1"/>
      <name val="MS Gothic"/>
      <family val="3"/>
    </font>
    <font>
      <i/>
      <sz val="9"/>
      <color theme="1"/>
      <name val="Arial"/>
      <family val="2"/>
    </font>
    <font>
      <b/>
      <sz val="5"/>
      <color theme="1"/>
      <name val="Arial"/>
      <family val="2"/>
    </font>
    <font>
      <sz val="8"/>
      <color theme="1"/>
      <name val="Arial"/>
      <family val="2"/>
    </font>
    <font>
      <sz val="12"/>
      <color theme="1"/>
      <name val="Calibri"/>
      <family val="2"/>
      <scheme val="minor"/>
    </font>
    <font>
      <u/>
      <sz val="28"/>
      <color theme="1"/>
      <name val="Calibri"/>
      <family val="2"/>
      <scheme val="minor"/>
    </font>
    <font>
      <b/>
      <sz val="12"/>
      <color rgb="FFFF0000"/>
      <name val="Calibri"/>
      <family val="2"/>
      <scheme val="minor"/>
    </font>
    <font>
      <b/>
      <sz val="12"/>
      <color theme="1"/>
      <name val="Calibri"/>
      <family val="2"/>
      <scheme val="minor"/>
    </font>
    <font>
      <b/>
      <sz val="18"/>
      <color theme="1"/>
      <name val="Calibri"/>
      <family val="2"/>
      <scheme val="minor"/>
    </font>
    <font>
      <b/>
      <sz val="14"/>
      <color theme="1"/>
      <name val="Calibri"/>
      <family val="2"/>
      <scheme val="minor"/>
    </font>
    <font>
      <sz val="14"/>
      <color theme="1"/>
      <name val="Calibri"/>
      <family val="2"/>
      <scheme val="minor"/>
    </font>
    <font>
      <b/>
      <u/>
      <sz val="14"/>
      <color theme="1"/>
      <name val="Calibri"/>
      <family val="2"/>
      <scheme val="minor"/>
    </font>
  </fonts>
  <fills count="20">
    <fill>
      <patternFill patternType="none"/>
    </fill>
    <fill>
      <patternFill patternType="gray125"/>
    </fill>
    <fill>
      <patternFill patternType="solid">
        <fgColor theme="2" tint="-9.9978637043366805E-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7CE"/>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19545"/>
        <bgColor indexed="64"/>
      </patternFill>
    </fill>
    <fill>
      <patternFill patternType="solid">
        <fgColor rgb="FFF9D5BF"/>
        <bgColor indexed="64"/>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8"/>
        <bgColor indexed="64"/>
      </patternFill>
    </fill>
    <fill>
      <patternFill patternType="solid">
        <fgColor theme="8" tint="0.79998168889431442"/>
        <bgColor indexed="64"/>
      </patternFill>
    </fill>
    <fill>
      <patternFill patternType="solid">
        <fgColor rgb="FFFF7D7D"/>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indexed="64"/>
      </top>
      <bottom style="double">
        <color indexed="64"/>
      </bottom>
      <diagonal/>
    </border>
    <border>
      <left style="thin">
        <color auto="1"/>
      </left>
      <right/>
      <top style="thin">
        <color auto="1"/>
      </top>
      <bottom style="double">
        <color indexed="64"/>
      </bottom>
      <diagonal/>
    </border>
    <border>
      <left/>
      <right style="thin">
        <color auto="1"/>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auto="1"/>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style="medium">
        <color auto="1"/>
      </right>
      <top style="double">
        <color indexed="64"/>
      </top>
      <bottom style="thin">
        <color indexed="64"/>
      </bottom>
      <diagonal/>
    </border>
    <border>
      <left style="medium">
        <color auto="1"/>
      </left>
      <right style="medium">
        <color auto="1"/>
      </right>
      <top/>
      <bottom style="thin">
        <color auto="1"/>
      </bottom>
      <diagonal/>
    </border>
    <border>
      <left/>
      <right/>
      <top style="thin">
        <color indexed="64"/>
      </top>
      <bottom style="thin">
        <color indexed="64"/>
      </bottom>
      <diagonal/>
    </border>
    <border>
      <left style="thin">
        <color auto="1"/>
      </left>
      <right/>
      <top/>
      <bottom style="thin">
        <color auto="1"/>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auto="1"/>
      </right>
      <top style="thin">
        <color auto="1"/>
      </top>
      <bottom style="thin">
        <color auto="1"/>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right style="thin">
        <color auto="1"/>
      </right>
      <top/>
      <bottom/>
      <diagonal/>
    </border>
    <border>
      <left style="thin">
        <color auto="1"/>
      </left>
      <right/>
      <top/>
      <bottom/>
      <diagonal/>
    </border>
    <border>
      <left/>
      <right style="medium">
        <color auto="1"/>
      </right>
      <top/>
      <bottom/>
      <diagonal/>
    </border>
    <border>
      <left style="thin">
        <color auto="1"/>
      </left>
      <right style="thin">
        <color auto="1"/>
      </right>
      <top/>
      <bottom/>
      <diagonal/>
    </border>
    <border>
      <left style="thin">
        <color auto="1"/>
      </left>
      <right/>
      <top/>
      <bottom style="medium">
        <color auto="1"/>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auto="1"/>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auto="1"/>
      </top>
      <bottom style="medium">
        <color indexed="64"/>
      </bottom>
      <diagonal/>
    </border>
    <border>
      <left/>
      <right style="medium">
        <color auto="1"/>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auto="1"/>
      </left>
      <right style="medium">
        <color auto="1"/>
      </right>
      <top style="double">
        <color indexed="64"/>
      </top>
      <bottom style="medium">
        <color auto="1"/>
      </bottom>
      <diagonal/>
    </border>
    <border>
      <left style="medium">
        <color auto="1"/>
      </left>
      <right style="medium">
        <color auto="1"/>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auto="1"/>
      </right>
      <top/>
      <bottom style="medium">
        <color auto="1"/>
      </bottom>
      <diagonal/>
    </border>
    <border>
      <left/>
      <right style="thin">
        <color auto="1"/>
      </right>
      <top/>
      <bottom style="medium">
        <color indexed="64"/>
      </bottom>
      <diagonal/>
    </border>
    <border>
      <left style="thin">
        <color indexed="64"/>
      </left>
      <right style="thin">
        <color indexed="64"/>
      </right>
      <top style="double">
        <color indexed="64"/>
      </top>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thin">
        <color auto="1"/>
      </top>
      <bottom style="thin">
        <color auto="1"/>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right style="thin">
        <color indexed="64"/>
      </right>
      <top style="medium">
        <color indexed="64"/>
      </top>
      <bottom style="medium">
        <color auto="1"/>
      </bottom>
      <diagonal/>
    </border>
    <border>
      <left style="medium">
        <color indexed="64"/>
      </left>
      <right style="thin">
        <color indexed="64"/>
      </right>
      <top/>
      <bottom/>
      <diagonal/>
    </border>
    <border>
      <left style="medium">
        <color indexed="64"/>
      </left>
      <right style="thin">
        <color indexed="64"/>
      </right>
      <top/>
      <bottom style="thin">
        <color auto="1"/>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auto="1"/>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auto="1"/>
      </bottom>
      <diagonal/>
    </border>
    <border>
      <left style="thin">
        <color indexed="64"/>
      </left>
      <right style="medium">
        <color auto="1"/>
      </right>
      <top/>
      <bottom style="thin">
        <color indexed="64"/>
      </bottom>
      <diagonal/>
    </border>
    <border>
      <left style="thin">
        <color indexed="64"/>
      </left>
      <right style="medium">
        <color auto="1"/>
      </right>
      <top style="medium">
        <color indexed="64"/>
      </top>
      <bottom style="thin">
        <color indexed="64"/>
      </bottom>
      <diagonal/>
    </border>
    <border>
      <left style="thin">
        <color indexed="64"/>
      </left>
      <right style="medium">
        <color auto="1"/>
      </right>
      <top style="medium">
        <color auto="1"/>
      </top>
      <bottom/>
      <diagonal/>
    </border>
    <border>
      <left style="thin">
        <color indexed="64"/>
      </left>
      <right style="medium">
        <color auto="1"/>
      </right>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auto="1"/>
      </top>
      <bottom style="medium">
        <color indexed="64"/>
      </bottom>
      <diagonal/>
    </border>
    <border>
      <left style="medium">
        <color auto="1"/>
      </left>
      <right/>
      <top style="thin">
        <color auto="1"/>
      </top>
      <bottom/>
      <diagonal/>
    </border>
    <border>
      <left/>
      <right style="medium">
        <color indexed="64"/>
      </right>
      <top style="thin">
        <color indexed="64"/>
      </top>
      <bottom/>
      <diagonal/>
    </border>
    <border>
      <left style="medium">
        <color indexed="64"/>
      </left>
      <right style="medium">
        <color indexed="64"/>
      </right>
      <top style="double">
        <color indexed="64"/>
      </top>
      <bottom style="thin">
        <color indexed="64"/>
      </bottom>
      <diagonal/>
    </border>
    <border>
      <left/>
      <right style="medium">
        <color indexed="64"/>
      </right>
      <top/>
      <bottom style="double">
        <color indexed="64"/>
      </bottom>
      <diagonal/>
    </border>
    <border>
      <left/>
      <right/>
      <top/>
      <bottom style="thin">
        <color theme="2"/>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6" borderId="0" applyNumberFormat="0" applyBorder="0" applyAlignment="0" applyProtection="0"/>
    <xf numFmtId="164" fontId="1" fillId="0" borderId="0" applyFont="0" applyFill="0" applyBorder="0" applyAlignment="0" applyProtection="0"/>
  </cellStyleXfs>
  <cellXfs count="578">
    <xf numFmtId="0" fontId="0" fillId="0" borderId="0" xfId="0"/>
    <xf numFmtId="0" fontId="0" fillId="0" borderId="1" xfId="0" applyBorder="1"/>
    <xf numFmtId="0" fontId="0" fillId="0" borderId="2" xfId="0" applyBorder="1"/>
    <xf numFmtId="9" fontId="0" fillId="0" borderId="1" xfId="0" applyNumberFormat="1" applyBorder="1"/>
    <xf numFmtId="0" fontId="0" fillId="0" borderId="1" xfId="0" applyBorder="1" applyAlignment="1">
      <alignment horizontal="center"/>
    </xf>
    <xf numFmtId="44" fontId="0" fillId="0" borderId="1" xfId="1" applyFont="1" applyBorder="1"/>
    <xf numFmtId="44" fontId="0" fillId="0" borderId="0" xfId="1" applyFont="1"/>
    <xf numFmtId="0" fontId="0" fillId="2" borderId="1" xfId="0" applyFill="1" applyBorder="1"/>
    <xf numFmtId="9" fontId="0" fillId="0" borderId="0" xfId="0" applyNumberFormat="1"/>
    <xf numFmtId="44" fontId="0" fillId="0" borderId="0" xfId="0" applyNumberFormat="1"/>
    <xf numFmtId="0" fontId="0" fillId="0" borderId="2" xfId="0" applyBorder="1" applyAlignment="1">
      <alignment horizontal="center"/>
    </xf>
    <xf numFmtId="0" fontId="0" fillId="2" borderId="0" xfId="0" applyFill="1"/>
    <xf numFmtId="44" fontId="0" fillId="0" borderId="1" xfId="0" applyNumberFormat="1" applyBorder="1"/>
    <xf numFmtId="6" fontId="0" fillId="0" borderId="0" xfId="0" applyNumberFormat="1"/>
    <xf numFmtId="0" fontId="2" fillId="0" borderId="0" xfId="0" applyFont="1"/>
    <xf numFmtId="44" fontId="2" fillId="0" borderId="0" xfId="1" applyFont="1"/>
    <xf numFmtId="0" fontId="0" fillId="3" borderId="1" xfId="0" applyFill="1" applyBorder="1"/>
    <xf numFmtId="44" fontId="0" fillId="3" borderId="0" xfId="0" applyNumberFormat="1" applyFill="1"/>
    <xf numFmtId="0" fontId="0" fillId="3" borderId="0" xfId="0" applyFill="1"/>
    <xf numFmtId="0" fontId="0" fillId="4" borderId="1" xfId="0" applyFill="1" applyBorder="1"/>
    <xf numFmtId="9" fontId="0" fillId="5" borderId="1" xfId="0" applyNumberFormat="1" applyFill="1" applyBorder="1"/>
    <xf numFmtId="9" fontId="0" fillId="0" borderId="0" xfId="2" applyFont="1"/>
    <xf numFmtId="166" fontId="0" fillId="0" borderId="0" xfId="0" applyNumberFormat="1"/>
    <xf numFmtId="166" fontId="0" fillId="0" borderId="0" xfId="2" applyNumberFormat="1" applyFont="1"/>
    <xf numFmtId="167" fontId="0" fillId="0" borderId="0" xfId="0" applyNumberFormat="1"/>
    <xf numFmtId="168" fontId="0" fillId="0" borderId="0" xfId="0" applyNumberFormat="1"/>
    <xf numFmtId="169" fontId="0" fillId="0" borderId="0" xfId="2" applyNumberFormat="1" applyFont="1"/>
    <xf numFmtId="169" fontId="0" fillId="0" borderId="0" xfId="0" applyNumberFormat="1"/>
    <xf numFmtId="0" fontId="0" fillId="7" borderId="4" xfId="0" applyFont="1" applyFill="1" applyBorder="1" applyAlignment="1">
      <alignment horizontal="left" vertical="center"/>
    </xf>
    <xf numFmtId="0" fontId="4" fillId="8" borderId="5" xfId="0" applyFont="1" applyFill="1" applyBorder="1" applyAlignment="1">
      <alignment horizontal="left" vertical="center"/>
    </xf>
    <xf numFmtId="0" fontId="0" fillId="7" borderId="0" xfId="0" applyFont="1" applyFill="1" applyBorder="1" applyAlignment="1">
      <alignment horizontal="left" vertical="center"/>
    </xf>
    <xf numFmtId="0" fontId="0" fillId="9" borderId="7" xfId="0" applyFill="1" applyBorder="1"/>
    <xf numFmtId="0" fontId="4" fillId="0" borderId="0" xfId="0" applyFont="1"/>
    <xf numFmtId="1" fontId="0" fillId="0" borderId="0" xfId="0" applyNumberFormat="1"/>
    <xf numFmtId="0" fontId="0" fillId="7" borderId="9" xfId="0" applyFont="1" applyFill="1" applyBorder="1" applyAlignment="1">
      <alignment horizontal="right" vertical="center"/>
    </xf>
    <xf numFmtId="44" fontId="0" fillId="7" borderId="4" xfId="1" applyFont="1" applyFill="1" applyBorder="1" applyAlignment="1">
      <alignment horizontal="left" vertical="center"/>
    </xf>
    <xf numFmtId="44" fontId="4" fillId="8" borderId="5" xfId="1" applyFont="1" applyFill="1" applyBorder="1" applyAlignment="1">
      <alignment horizontal="left" vertical="center"/>
    </xf>
    <xf numFmtId="44" fontId="0" fillId="7" borderId="0" xfId="1" applyFont="1" applyFill="1" applyBorder="1" applyAlignment="1">
      <alignment horizontal="right" vertical="center"/>
    </xf>
    <xf numFmtId="44" fontId="0" fillId="9" borderId="8" xfId="1" applyFont="1" applyFill="1" applyBorder="1"/>
    <xf numFmtId="44" fontId="0" fillId="0" borderId="8" xfId="1" applyFont="1" applyBorder="1"/>
    <xf numFmtId="0" fontId="7" fillId="0" borderId="4"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7" fillId="0" borderId="36" xfId="0" applyFont="1" applyFill="1" applyBorder="1" applyAlignment="1" applyProtection="1">
      <alignment horizontal="center" vertical="center"/>
    </xf>
    <xf numFmtId="0" fontId="9" fillId="0" borderId="0" xfId="0" applyFont="1" applyProtection="1"/>
    <xf numFmtId="0" fontId="14" fillId="0" borderId="25" xfId="0" applyFont="1" applyBorder="1" applyAlignment="1" applyProtection="1">
      <alignment vertical="center"/>
    </xf>
    <xf numFmtId="0" fontId="14" fillId="0" borderId="26" xfId="0" applyFont="1" applyBorder="1" applyAlignment="1" applyProtection="1">
      <alignment vertical="center"/>
    </xf>
    <xf numFmtId="0" fontId="14" fillId="0" borderId="0" xfId="0" applyFont="1" applyAlignment="1" applyProtection="1">
      <alignment vertical="center"/>
    </xf>
    <xf numFmtId="0" fontId="8" fillId="10" borderId="38" xfId="0" applyFont="1" applyFill="1" applyBorder="1" applyAlignment="1" applyProtection="1">
      <alignment horizontal="center" vertical="center" wrapText="1"/>
    </xf>
    <xf numFmtId="0" fontId="8" fillId="10" borderId="37" xfId="0" applyFont="1" applyFill="1" applyBorder="1" applyAlignment="1" applyProtection="1">
      <alignment horizontal="center" vertical="center" wrapText="1"/>
    </xf>
    <xf numFmtId="0" fontId="17" fillId="10" borderId="38" xfId="0" applyFont="1" applyFill="1" applyBorder="1" applyAlignment="1" applyProtection="1">
      <alignment horizontal="center" vertical="center" wrapText="1"/>
    </xf>
    <xf numFmtId="0" fontId="17" fillId="10" borderId="39" xfId="0" applyFont="1" applyFill="1" applyBorder="1" applyAlignment="1" applyProtection="1">
      <alignment horizontal="center" vertical="center" wrapText="1"/>
    </xf>
    <xf numFmtId="0" fontId="8" fillId="10" borderId="9" xfId="0" applyFont="1" applyFill="1" applyBorder="1" applyAlignment="1" applyProtection="1">
      <alignment horizontal="center" vertical="center" wrapText="1"/>
    </xf>
    <xf numFmtId="0" fontId="14" fillId="0" borderId="35" xfId="0" applyFont="1" applyBorder="1" applyAlignment="1" applyProtection="1">
      <alignment vertical="center" wrapText="1"/>
    </xf>
    <xf numFmtId="0" fontId="9" fillId="10" borderId="40" xfId="0" applyFont="1" applyFill="1" applyBorder="1" applyAlignment="1" applyProtection="1">
      <alignment horizontal="center" vertical="center" wrapText="1"/>
    </xf>
    <xf numFmtId="0" fontId="9" fillId="10" borderId="41" xfId="0" applyFont="1" applyFill="1" applyBorder="1" applyAlignment="1" applyProtection="1">
      <alignment horizontal="center" vertical="center" wrapText="1"/>
    </xf>
    <xf numFmtId="0" fontId="9" fillId="10" borderId="36" xfId="0" applyFont="1" applyFill="1" applyBorder="1" applyAlignment="1" applyProtection="1">
      <alignment horizontal="center" vertical="center" wrapText="1"/>
    </xf>
    <xf numFmtId="0" fontId="9" fillId="10" borderId="27" xfId="0" applyFont="1" applyFill="1" applyBorder="1" applyAlignment="1" applyProtection="1">
      <alignment horizontal="center" vertical="center" wrapText="1"/>
    </xf>
    <xf numFmtId="0" fontId="8" fillId="10" borderId="42" xfId="0" applyFont="1" applyFill="1" applyBorder="1" applyAlignment="1" applyProtection="1">
      <alignment horizontal="left" vertical="center" wrapText="1"/>
    </xf>
    <xf numFmtId="171" fontId="8" fillId="10" borderId="43" xfId="1" applyNumberFormat="1" applyFont="1" applyFill="1" applyBorder="1" applyAlignment="1" applyProtection="1">
      <alignment horizontal="right" vertical="center"/>
    </xf>
    <xf numFmtId="165" fontId="8" fillId="10" borderId="43" xfId="2" applyNumberFormat="1" applyFont="1" applyFill="1" applyBorder="1" applyAlignment="1" applyProtection="1">
      <alignment horizontal="right" vertical="center"/>
    </xf>
    <xf numFmtId="171" fontId="8" fillId="10" borderId="44" xfId="0" applyNumberFormat="1" applyFont="1" applyFill="1" applyBorder="1" applyAlignment="1" applyProtection="1">
      <alignment horizontal="right" vertical="center"/>
    </xf>
    <xf numFmtId="171" fontId="8" fillId="10" borderId="8" xfId="0" applyNumberFormat="1" applyFont="1" applyFill="1" applyBorder="1" applyAlignment="1" applyProtection="1">
      <alignment horizontal="right" vertical="center"/>
    </xf>
    <xf numFmtId="171" fontId="8" fillId="10" borderId="5" xfId="0" applyNumberFormat="1" applyFont="1" applyFill="1" applyBorder="1" applyAlignment="1" applyProtection="1">
      <alignment horizontal="right" vertical="center"/>
    </xf>
    <xf numFmtId="0" fontId="9" fillId="11" borderId="1" xfId="0" applyNumberFormat="1" applyFont="1" applyFill="1" applyBorder="1" applyAlignment="1" applyProtection="1">
      <alignment horizontal="left" vertical="center" wrapText="1"/>
    </xf>
    <xf numFmtId="171" fontId="9" fillId="0" borderId="1" xfId="4" applyNumberFormat="1" applyFont="1" applyFill="1" applyBorder="1" applyAlignment="1" applyProtection="1">
      <alignment horizontal="right" vertical="center"/>
      <protection locked="0"/>
    </xf>
    <xf numFmtId="165" fontId="9" fillId="11" borderId="1" xfId="2" applyNumberFormat="1" applyFont="1" applyFill="1" applyBorder="1" applyAlignment="1" applyProtection="1">
      <alignment horizontal="right" vertical="center"/>
    </xf>
    <xf numFmtId="171" fontId="9" fillId="11" borderId="45" xfId="1" applyNumberFormat="1" applyFont="1" applyFill="1" applyBorder="1" applyAlignment="1" applyProtection="1">
      <alignment horizontal="right" vertical="center"/>
    </xf>
    <xf numFmtId="171" fontId="9" fillId="11" borderId="46" xfId="1" applyNumberFormat="1" applyFont="1" applyFill="1" applyBorder="1" applyAlignment="1" applyProtection="1">
      <alignment horizontal="right" vertical="center"/>
    </xf>
    <xf numFmtId="171" fontId="8" fillId="11" borderId="23" xfId="1" applyNumberFormat="1" applyFont="1" applyFill="1" applyBorder="1" applyAlignment="1" applyProtection="1">
      <alignment horizontal="right" vertical="center"/>
    </xf>
    <xf numFmtId="171" fontId="9" fillId="11" borderId="11" xfId="1" applyNumberFormat="1" applyFont="1" applyFill="1" applyBorder="1" applyAlignment="1" applyProtection="1">
      <alignment horizontal="right" vertical="center"/>
    </xf>
    <xf numFmtId="171" fontId="9" fillId="11" borderId="28" xfId="1" applyNumberFormat="1" applyFont="1" applyFill="1" applyBorder="1" applyAlignment="1" applyProtection="1">
      <alignment horizontal="right" vertical="center"/>
    </xf>
    <xf numFmtId="0" fontId="9" fillId="11" borderId="15" xfId="0" applyNumberFormat="1" applyFont="1" applyFill="1" applyBorder="1" applyAlignment="1" applyProtection="1">
      <alignment horizontal="left" vertical="center" wrapText="1"/>
    </xf>
    <xf numFmtId="171" fontId="9" fillId="0" borderId="15" xfId="4" applyNumberFormat="1" applyFont="1" applyFill="1" applyBorder="1" applyAlignment="1" applyProtection="1">
      <alignment horizontal="right" vertical="center"/>
      <protection locked="0"/>
    </xf>
    <xf numFmtId="165" fontId="9" fillId="11" borderId="15" xfId="2" applyNumberFormat="1" applyFont="1" applyFill="1" applyBorder="1" applyAlignment="1" applyProtection="1">
      <alignment horizontal="right" vertical="center"/>
    </xf>
    <xf numFmtId="171" fontId="9" fillId="11" borderId="16" xfId="1" applyNumberFormat="1" applyFont="1" applyFill="1" applyBorder="1" applyAlignment="1" applyProtection="1">
      <alignment horizontal="right" vertical="center"/>
    </xf>
    <xf numFmtId="171" fontId="9" fillId="11" borderId="47" xfId="1" applyNumberFormat="1" applyFont="1" applyFill="1" applyBorder="1" applyAlignment="1" applyProtection="1">
      <alignment horizontal="right" vertical="center"/>
    </xf>
    <xf numFmtId="171" fontId="8" fillId="11" borderId="18" xfId="1" applyNumberFormat="1" applyFont="1" applyFill="1" applyBorder="1" applyAlignment="1" applyProtection="1">
      <alignment horizontal="right" vertical="center"/>
    </xf>
    <xf numFmtId="0" fontId="8" fillId="10" borderId="3" xfId="0" applyFont="1" applyFill="1" applyBorder="1" applyAlignment="1" applyProtection="1">
      <alignment horizontal="left" vertical="center" wrapText="1"/>
    </xf>
    <xf numFmtId="171" fontId="18" fillId="13" borderId="1" xfId="0" applyNumberFormat="1" applyFont="1" applyFill="1" applyBorder="1" applyAlignment="1" applyProtection="1">
      <alignment horizontal="center" vertical="center"/>
    </xf>
    <xf numFmtId="171" fontId="18" fillId="13" borderId="19" xfId="0" applyNumberFormat="1" applyFont="1" applyFill="1" applyBorder="1" applyAlignment="1" applyProtection="1">
      <alignment horizontal="center" vertical="center"/>
    </xf>
    <xf numFmtId="171" fontId="18" fillId="13" borderId="22"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left" vertical="center" wrapText="1"/>
    </xf>
    <xf numFmtId="171" fontId="12" fillId="0" borderId="0" xfId="1" applyNumberFormat="1" applyFont="1" applyFill="1" applyBorder="1" applyAlignment="1" applyProtection="1">
      <alignment horizontal="left" vertical="center"/>
    </xf>
    <xf numFmtId="165" fontId="18" fillId="0" borderId="0" xfId="0" applyNumberFormat="1" applyFont="1" applyAlignment="1" applyProtection="1">
      <alignment vertical="center"/>
    </xf>
    <xf numFmtId="0" fontId="18" fillId="0" borderId="0" xfId="0" applyFont="1" applyAlignment="1" applyProtection="1">
      <alignment vertical="center"/>
    </xf>
    <xf numFmtId="0" fontId="9" fillId="0" borderId="25" xfId="0" applyFont="1" applyBorder="1" applyAlignment="1" applyProtection="1">
      <alignment vertical="center"/>
    </xf>
    <xf numFmtId="0" fontId="9" fillId="0" borderId="26" xfId="0" applyFont="1" applyBorder="1" applyAlignment="1" applyProtection="1">
      <alignment vertical="center"/>
    </xf>
    <xf numFmtId="0" fontId="9" fillId="0" borderId="0" xfId="0" applyFont="1" applyAlignment="1" applyProtection="1">
      <alignment vertical="center"/>
    </xf>
    <xf numFmtId="0" fontId="14" fillId="0" borderId="0" xfId="0" applyFont="1" applyAlignment="1" applyProtection="1">
      <alignment horizontal="left" vertical="center"/>
    </xf>
    <xf numFmtId="0" fontId="9" fillId="10" borderId="25" xfId="0" applyFont="1" applyFill="1" applyBorder="1" applyAlignment="1" applyProtection="1">
      <alignment horizontal="center" vertical="center" wrapText="1"/>
    </xf>
    <xf numFmtId="0" fontId="9" fillId="10" borderId="49" xfId="0" applyFont="1" applyFill="1" applyBorder="1" applyAlignment="1" applyProtection="1">
      <alignment horizontal="center" vertical="center" wrapText="1"/>
    </xf>
    <xf numFmtId="0" fontId="8" fillId="10" borderId="27" xfId="0" applyFont="1" applyFill="1" applyBorder="1" applyAlignment="1" applyProtection="1">
      <alignment horizontal="center" vertical="center" wrapText="1"/>
    </xf>
    <xf numFmtId="0" fontId="12" fillId="11" borderId="1" xfId="0" applyFont="1" applyFill="1" applyBorder="1" applyAlignment="1" applyProtection="1">
      <alignment horizontal="left" vertical="center" wrapText="1"/>
    </xf>
    <xf numFmtId="171" fontId="9" fillId="11" borderId="1" xfId="1" applyNumberFormat="1" applyFont="1" applyFill="1" applyBorder="1" applyAlignment="1" applyProtection="1">
      <alignment horizontal="right" vertical="center"/>
    </xf>
    <xf numFmtId="44" fontId="9" fillId="11" borderId="1" xfId="1" applyFont="1" applyFill="1" applyBorder="1" applyAlignment="1" applyProtection="1">
      <alignment horizontal="right" vertical="center"/>
    </xf>
    <xf numFmtId="171" fontId="8" fillId="11" borderId="14" xfId="1" applyNumberFormat="1" applyFont="1" applyFill="1" applyBorder="1" applyAlignment="1" applyProtection="1">
      <alignment horizontal="right" vertical="center"/>
    </xf>
    <xf numFmtId="171" fontId="9" fillId="11" borderId="1" xfId="1" applyNumberFormat="1" applyFont="1" applyFill="1" applyBorder="1" applyAlignment="1" applyProtection="1">
      <alignment horizontal="right" vertical="center"/>
      <protection locked="0"/>
    </xf>
    <xf numFmtId="171" fontId="9" fillId="11" borderId="11" xfId="1" applyNumberFormat="1" applyFont="1" applyFill="1" applyBorder="1" applyAlignment="1" applyProtection="1">
      <alignment horizontal="center" vertical="center"/>
    </xf>
    <xf numFmtId="171" fontId="9" fillId="11" borderId="28" xfId="1" applyNumberFormat="1" applyFont="1" applyFill="1" applyBorder="1" applyAlignment="1" applyProtection="1">
      <alignment horizontal="center" vertical="center"/>
    </xf>
    <xf numFmtId="0" fontId="8" fillId="10" borderId="3" xfId="0" applyFont="1" applyFill="1" applyBorder="1" applyAlignment="1" applyProtection="1">
      <alignment vertical="center" wrapText="1"/>
    </xf>
    <xf numFmtId="171" fontId="8" fillId="10" borderId="3" xfId="0" applyNumberFormat="1" applyFont="1" applyFill="1" applyBorder="1" applyAlignment="1" applyProtection="1">
      <alignment horizontal="right" vertical="center"/>
    </xf>
    <xf numFmtId="165" fontId="8" fillId="10" borderId="3" xfId="2" applyNumberFormat="1" applyFont="1" applyFill="1" applyBorder="1" applyAlignment="1" applyProtection="1">
      <alignment horizontal="right" vertical="center"/>
    </xf>
    <xf numFmtId="44" fontId="8" fillId="10" borderId="3" xfId="1" applyFont="1" applyFill="1" applyBorder="1" applyAlignment="1" applyProtection="1">
      <alignment horizontal="right" vertical="center"/>
    </xf>
    <xf numFmtId="171" fontId="8" fillId="10" borderId="19" xfId="1" quotePrefix="1" applyNumberFormat="1" applyFont="1" applyFill="1" applyBorder="1" applyAlignment="1" applyProtection="1">
      <alignment horizontal="right" vertical="center"/>
    </xf>
    <xf numFmtId="171" fontId="8" fillId="10" borderId="22" xfId="1" quotePrefix="1" applyNumberFormat="1" applyFont="1" applyFill="1" applyBorder="1" applyAlignment="1" applyProtection="1">
      <alignment horizontal="right" vertical="center"/>
    </xf>
    <xf numFmtId="171" fontId="8" fillId="10" borderId="27" xfId="1" quotePrefix="1" applyNumberFormat="1" applyFont="1" applyFill="1" applyBorder="1" applyAlignment="1" applyProtection="1">
      <alignment horizontal="right" vertical="center"/>
    </xf>
    <xf numFmtId="0" fontId="8" fillId="10" borderId="2" xfId="0" applyFont="1" applyFill="1" applyBorder="1" applyAlignment="1" applyProtection="1">
      <alignment horizontal="center" vertical="center" wrapText="1"/>
    </xf>
    <xf numFmtId="0" fontId="8" fillId="10" borderId="50" xfId="0" applyFont="1" applyFill="1" applyBorder="1" applyAlignment="1" applyProtection="1">
      <alignment horizontal="center" vertical="center" wrapText="1"/>
    </xf>
    <xf numFmtId="0" fontId="8" fillId="10" borderId="51" xfId="0" applyFont="1" applyFill="1" applyBorder="1" applyAlignment="1" applyProtection="1">
      <alignment horizontal="center" vertical="center" wrapText="1"/>
    </xf>
    <xf numFmtId="0" fontId="8" fillId="10" borderId="52" xfId="0" applyFont="1" applyFill="1" applyBorder="1" applyAlignment="1" applyProtection="1">
      <alignment horizontal="center" vertical="center" wrapText="1"/>
    </xf>
    <xf numFmtId="171" fontId="9" fillId="11" borderId="25" xfId="1" applyNumberFormat="1" applyFont="1" applyFill="1" applyBorder="1" applyAlignment="1" applyProtection="1">
      <alignment horizontal="center" vertical="center"/>
    </xf>
    <xf numFmtId="171" fontId="9" fillId="11" borderId="49" xfId="1" applyNumberFormat="1" applyFont="1" applyFill="1" applyBorder="1" applyAlignment="1" applyProtection="1">
      <alignment horizontal="center" vertical="center"/>
    </xf>
    <xf numFmtId="171" fontId="18" fillId="13" borderId="53" xfId="0" applyNumberFormat="1" applyFont="1" applyFill="1" applyBorder="1" applyAlignment="1" applyProtection="1">
      <alignment vertical="center"/>
    </xf>
    <xf numFmtId="0" fontId="12" fillId="11" borderId="3" xfId="0" applyFont="1" applyFill="1" applyBorder="1" applyAlignment="1" applyProtection="1">
      <alignment horizontal="left" vertical="center" wrapText="1"/>
    </xf>
    <xf numFmtId="171" fontId="9" fillId="11" borderId="3" xfId="1" applyNumberFormat="1" applyFont="1" applyFill="1" applyBorder="1" applyAlignment="1" applyProtection="1">
      <alignment horizontal="right" vertical="center"/>
      <protection locked="0"/>
    </xf>
    <xf numFmtId="165" fontId="9" fillId="11" borderId="3" xfId="2" applyNumberFormat="1" applyFont="1" applyFill="1" applyBorder="1" applyAlignment="1" applyProtection="1">
      <alignment horizontal="right" vertical="center"/>
    </xf>
    <xf numFmtId="44" fontId="9" fillId="11" borderId="3" xfId="1" applyFont="1" applyFill="1" applyBorder="1" applyAlignment="1" applyProtection="1">
      <alignment horizontal="right" vertical="center"/>
    </xf>
    <xf numFmtId="171" fontId="8" fillId="11" borderId="54" xfId="1" applyNumberFormat="1" applyFont="1" applyFill="1" applyBorder="1" applyAlignment="1" applyProtection="1">
      <alignment horizontal="right" vertical="center"/>
    </xf>
    <xf numFmtId="0" fontId="0" fillId="0" borderId="1" xfId="0" quotePrefix="1" applyBorder="1"/>
    <xf numFmtId="0" fontId="0" fillId="0" borderId="3" xfId="0" quotePrefix="1" applyBorder="1"/>
    <xf numFmtId="0" fontId="0" fillId="0" borderId="3" xfId="0" applyBorder="1"/>
    <xf numFmtId="0" fontId="0" fillId="0" borderId="42" xfId="0" applyBorder="1"/>
    <xf numFmtId="0" fontId="0" fillId="0" borderId="43" xfId="0" applyBorder="1"/>
    <xf numFmtId="0" fontId="0" fillId="0" borderId="56" xfId="0" applyBorder="1"/>
    <xf numFmtId="0" fontId="0" fillId="0" borderId="44" xfId="0" applyBorder="1"/>
    <xf numFmtId="0" fontId="0" fillId="0" borderId="25" xfId="0" applyBorder="1"/>
    <xf numFmtId="0" fontId="0" fillId="0" borderId="11" xfId="0" applyBorder="1"/>
    <xf numFmtId="0" fontId="0" fillId="0" borderId="1" xfId="0" applyFill="1" applyBorder="1"/>
    <xf numFmtId="0" fontId="0" fillId="0" borderId="3" xfId="0" applyFill="1" applyBorder="1"/>
    <xf numFmtId="0" fontId="19" fillId="0" borderId="0" xfId="0" applyFont="1"/>
    <xf numFmtId="0" fontId="20" fillId="0" borderId="1" xfId="0" applyFont="1" applyBorder="1" applyAlignment="1">
      <alignment horizontal="center"/>
    </xf>
    <xf numFmtId="0" fontId="19" fillId="13" borderId="1" xfId="2" applyNumberFormat="1" applyFont="1" applyFill="1" applyBorder="1" applyAlignment="1">
      <alignment horizontal="center"/>
    </xf>
    <xf numFmtId="49" fontId="19" fillId="0" borderId="1" xfId="0" applyNumberFormat="1" applyFont="1" applyBorder="1"/>
    <xf numFmtId="9" fontId="19" fillId="5" borderId="1" xfId="2" applyFont="1" applyFill="1" applyBorder="1" applyAlignment="1">
      <alignment horizontal="center"/>
    </xf>
    <xf numFmtId="0" fontId="19" fillId="12" borderId="1" xfId="0" applyNumberFormat="1" applyFont="1" applyFill="1" applyBorder="1"/>
    <xf numFmtId="9" fontId="19" fillId="13" borderId="1" xfId="2" applyFont="1" applyFill="1" applyBorder="1" applyAlignment="1">
      <alignment horizontal="center"/>
    </xf>
    <xf numFmtId="44" fontId="4" fillId="8" borderId="5" xfId="1" applyFont="1" applyFill="1" applyBorder="1" applyAlignment="1">
      <alignment horizontal="right" vertical="center"/>
    </xf>
    <xf numFmtId="44" fontId="0" fillId="9" borderId="36" xfId="1" applyFont="1" applyFill="1" applyBorder="1"/>
    <xf numFmtId="0" fontId="0" fillId="7" borderId="11" xfId="0" applyFont="1" applyFill="1" applyBorder="1" applyAlignment="1">
      <alignment horizontal="left" vertical="center"/>
    </xf>
    <xf numFmtId="44" fontId="0" fillId="7" borderId="1" xfId="1" applyFont="1" applyFill="1" applyBorder="1" applyAlignment="1">
      <alignment horizontal="right" vertical="center"/>
    </xf>
    <xf numFmtId="164" fontId="0" fillId="0" borderId="0" xfId="0" applyNumberFormat="1"/>
    <xf numFmtId="10" fontId="0" fillId="0" borderId="0" xfId="2" applyNumberFormat="1" applyFont="1"/>
    <xf numFmtId="0" fontId="20" fillId="0" borderId="1" xfId="0" applyFont="1" applyBorder="1" applyAlignment="1">
      <alignment horizontal="center"/>
    </xf>
    <xf numFmtId="0" fontId="0" fillId="0" borderId="0" xfId="0" applyBorder="1"/>
    <xf numFmtId="0" fontId="0" fillId="2" borderId="6" xfId="0" applyFill="1" applyBorder="1"/>
    <xf numFmtId="0" fontId="0" fillId="2" borderId="29" xfId="0" applyFill="1" applyBorder="1"/>
    <xf numFmtId="0" fontId="0" fillId="2" borderId="0" xfId="0" applyFill="1" applyBorder="1"/>
    <xf numFmtId="0" fontId="0" fillId="2" borderId="39" xfId="0" applyFill="1" applyBorder="1"/>
    <xf numFmtId="0" fontId="0" fillId="0" borderId="0" xfId="0" applyFill="1"/>
    <xf numFmtId="172" fontId="14" fillId="0" borderId="3" xfId="1" applyNumberFormat="1" applyFont="1" applyFill="1" applyBorder="1" applyAlignment="1" applyProtection="1">
      <alignment vertical="center" wrapText="1"/>
    </xf>
    <xf numFmtId="44" fontId="14" fillId="0" borderId="3" xfId="1" applyFont="1" applyFill="1" applyBorder="1" applyAlignment="1" applyProtection="1">
      <alignment vertical="center" wrapText="1"/>
    </xf>
    <xf numFmtId="44" fontId="14" fillId="0" borderId="1" xfId="1" applyFont="1" applyFill="1" applyBorder="1" applyAlignment="1" applyProtection="1">
      <alignment vertical="center" wrapText="1"/>
    </xf>
    <xf numFmtId="44" fontId="14" fillId="0" borderId="2" xfId="1" applyFont="1" applyFill="1" applyBorder="1" applyAlignment="1" applyProtection="1">
      <alignment vertical="center" wrapText="1"/>
    </xf>
    <xf numFmtId="171" fontId="14" fillId="0" borderId="62" xfId="0" applyNumberFormat="1" applyFont="1" applyFill="1" applyBorder="1" applyAlignment="1" applyProtection="1">
      <alignment vertical="center" wrapText="1"/>
    </xf>
    <xf numFmtId="0" fontId="21" fillId="2" borderId="0" xfId="0" applyFont="1" applyFill="1" applyBorder="1"/>
    <xf numFmtId="0" fontId="21" fillId="2" borderId="39" xfId="0" applyFont="1" applyFill="1" applyBorder="1"/>
    <xf numFmtId="0" fontId="9" fillId="0" borderId="0" xfId="0" applyFont="1" applyAlignment="1">
      <alignment vertical="center"/>
    </xf>
    <xf numFmtId="0" fontId="9" fillId="15" borderId="0" xfId="0" applyFont="1" applyFill="1" applyAlignment="1">
      <alignment vertical="center"/>
    </xf>
    <xf numFmtId="0" fontId="0" fillId="15" borderId="0" xfId="0" applyFill="1"/>
    <xf numFmtId="0" fontId="23" fillId="15" borderId="0" xfId="0" applyFont="1" applyFill="1" applyAlignment="1">
      <alignment horizontal="left" vertical="center" indent="4"/>
    </xf>
    <xf numFmtId="0" fontId="9" fillId="15" borderId="0" xfId="0" applyFont="1" applyFill="1" applyAlignment="1">
      <alignment horizontal="left" vertical="center" indent="4"/>
    </xf>
    <xf numFmtId="0" fontId="26" fillId="15" borderId="0" xfId="0" applyFont="1" applyFill="1" applyAlignment="1">
      <alignment horizontal="left" vertical="center" indent="4"/>
    </xf>
    <xf numFmtId="0" fontId="8" fillId="15" borderId="0" xfId="0" applyFont="1" applyFill="1" applyAlignment="1">
      <alignment vertical="center"/>
    </xf>
    <xf numFmtId="0" fontId="23" fillId="15" borderId="0" xfId="0" applyFont="1" applyFill="1" applyAlignment="1">
      <alignment vertical="center"/>
    </xf>
    <xf numFmtId="0" fontId="24" fillId="15" borderId="0" xfId="0" applyFont="1" applyFill="1" applyAlignment="1">
      <alignment vertical="center"/>
    </xf>
    <xf numFmtId="0" fontId="27" fillId="15" borderId="0" xfId="0" applyFont="1" applyFill="1" applyAlignment="1">
      <alignment vertical="center"/>
    </xf>
    <xf numFmtId="0" fontId="25" fillId="15" borderId="0" xfId="0" applyFont="1" applyFill="1" applyAlignment="1">
      <alignment vertical="center"/>
    </xf>
    <xf numFmtId="0" fontId="28" fillId="15" borderId="0" xfId="0" applyFont="1" applyFill="1" applyAlignment="1">
      <alignment vertical="center"/>
    </xf>
    <xf numFmtId="0" fontId="9" fillId="13" borderId="0" xfId="0" applyFont="1" applyFill="1" applyAlignment="1">
      <alignment vertical="center"/>
    </xf>
    <xf numFmtId="0" fontId="23" fillId="13" borderId="0" xfId="0" applyFont="1" applyFill="1" applyAlignment="1">
      <alignment vertical="center"/>
    </xf>
    <xf numFmtId="0" fontId="14" fillId="17" borderId="74" xfId="0" applyFont="1" applyFill="1" applyBorder="1" applyAlignment="1" applyProtection="1">
      <alignment vertical="center" wrapText="1"/>
    </xf>
    <xf numFmtId="0" fontId="4" fillId="16" borderId="49" xfId="0" applyFont="1" applyFill="1" applyBorder="1" applyAlignment="1">
      <alignment horizontal="center"/>
    </xf>
    <xf numFmtId="0" fontId="4" fillId="16" borderId="23" xfId="0" applyFont="1" applyFill="1" applyBorder="1" applyAlignment="1">
      <alignment horizontal="center"/>
    </xf>
    <xf numFmtId="0" fontId="0" fillId="18" borderId="31" xfId="0" applyFill="1" applyBorder="1" applyAlignment="1">
      <alignment horizontal="center"/>
    </xf>
    <xf numFmtId="0" fontId="0" fillId="18" borderId="55" xfId="0" applyFill="1" applyBorder="1" applyAlignment="1">
      <alignment horizontal="center"/>
    </xf>
    <xf numFmtId="0" fontId="0" fillId="18" borderId="33" xfId="0" applyFill="1" applyBorder="1" applyAlignment="1">
      <alignment horizontal="center"/>
    </xf>
    <xf numFmtId="0" fontId="4" fillId="14" borderId="30" xfId="0" applyFont="1" applyFill="1" applyBorder="1"/>
    <xf numFmtId="0" fontId="4" fillId="14" borderId="68" xfId="0" applyFont="1" applyFill="1" applyBorder="1"/>
    <xf numFmtId="0" fontId="4" fillId="14" borderId="32" xfId="0" applyFont="1" applyFill="1" applyBorder="1"/>
    <xf numFmtId="0" fontId="0" fillId="18" borderId="48" xfId="0" applyFill="1" applyBorder="1" applyAlignment="1">
      <alignment horizontal="center"/>
    </xf>
    <xf numFmtId="0" fontId="9" fillId="16" borderId="72" xfId="0" applyFont="1" applyFill="1" applyBorder="1" applyAlignment="1" applyProtection="1">
      <alignment horizontal="left" vertical="center"/>
    </xf>
    <xf numFmtId="0" fontId="9" fillId="16" borderId="30" xfId="0" quotePrefix="1" applyFont="1" applyFill="1" applyBorder="1" applyAlignment="1" applyProtection="1">
      <alignment horizontal="left" vertical="center"/>
    </xf>
    <xf numFmtId="0" fontId="9" fillId="16" borderId="30" xfId="0" applyFont="1" applyFill="1" applyBorder="1" applyAlignment="1" applyProtection="1">
      <alignment horizontal="left" vertical="center"/>
    </xf>
    <xf numFmtId="0" fontId="8" fillId="16" borderId="78" xfId="0" applyFont="1" applyFill="1" applyBorder="1" applyAlignment="1" applyProtection="1">
      <alignment horizontal="left" vertical="center"/>
    </xf>
    <xf numFmtId="0" fontId="8" fillId="16" borderId="72" xfId="0" applyFont="1" applyFill="1" applyBorder="1" applyAlignment="1" applyProtection="1">
      <alignment horizontal="left" vertical="center"/>
    </xf>
    <xf numFmtId="0" fontId="9" fillId="14" borderId="30" xfId="0" quotePrefix="1" applyFont="1" applyFill="1" applyBorder="1" applyAlignment="1" applyProtection="1">
      <alignment horizontal="left" vertical="center"/>
    </xf>
    <xf numFmtId="0" fontId="9" fillId="14" borderId="30" xfId="0" quotePrefix="1" applyFont="1" applyFill="1" applyBorder="1" applyAlignment="1" applyProtection="1">
      <alignment horizontal="left" vertical="center"/>
      <protection locked="0"/>
    </xf>
    <xf numFmtId="0" fontId="9" fillId="14" borderId="30" xfId="0" applyFont="1" applyFill="1" applyBorder="1" applyAlignment="1" applyProtection="1">
      <alignment horizontal="left" vertical="center"/>
    </xf>
    <xf numFmtId="0" fontId="9" fillId="14" borderId="30" xfId="0" applyFont="1" applyFill="1" applyBorder="1" applyAlignment="1" applyProtection="1">
      <alignment horizontal="left" vertical="center"/>
      <protection locked="0"/>
    </xf>
    <xf numFmtId="0" fontId="9" fillId="14" borderId="77" xfId="0" applyFont="1" applyFill="1" applyBorder="1" applyAlignment="1" applyProtection="1">
      <alignment horizontal="left" vertical="center"/>
      <protection locked="0"/>
    </xf>
    <xf numFmtId="0" fontId="11" fillId="14" borderId="30" xfId="0" applyFont="1" applyFill="1" applyBorder="1" applyAlignment="1" applyProtection="1">
      <alignment horizontal="left" vertical="center"/>
    </xf>
    <xf numFmtId="0" fontId="12" fillId="14" borderId="30" xfId="0" applyFont="1" applyFill="1" applyBorder="1" applyAlignment="1" applyProtection="1">
      <alignment horizontal="left" vertical="center"/>
    </xf>
    <xf numFmtId="0" fontId="9" fillId="18" borderId="69" xfId="0" applyFont="1" applyFill="1" applyBorder="1" applyAlignment="1" applyProtection="1">
      <alignment horizontal="left"/>
    </xf>
    <xf numFmtId="0" fontId="9" fillId="18" borderId="0" xfId="0" applyFont="1" applyFill="1" applyBorder="1" applyAlignment="1" applyProtection="1">
      <alignment horizontal="right"/>
    </xf>
    <xf numFmtId="0" fontId="9" fillId="18" borderId="39" xfId="0" applyFont="1" applyFill="1" applyBorder="1" applyAlignment="1" applyProtection="1">
      <alignment horizontal="right"/>
    </xf>
    <xf numFmtId="0" fontId="11" fillId="18" borderId="66" xfId="0" applyFont="1" applyFill="1" applyBorder="1" applyAlignment="1" applyProtection="1">
      <alignment vertical="center"/>
    </xf>
    <xf numFmtId="0" fontId="11" fillId="18" borderId="21" xfId="0" applyFont="1" applyFill="1" applyBorder="1" applyAlignment="1" applyProtection="1">
      <alignment vertical="center"/>
    </xf>
    <xf numFmtId="0" fontId="11" fillId="18" borderId="47" xfId="0" applyFont="1" applyFill="1" applyBorder="1" applyAlignment="1" applyProtection="1">
      <alignment vertical="center"/>
    </xf>
    <xf numFmtId="0" fontId="12" fillId="18" borderId="66" xfId="0" applyFont="1" applyFill="1" applyBorder="1" applyAlignment="1" applyProtection="1">
      <alignment horizontal="left"/>
    </xf>
    <xf numFmtId="0" fontId="12" fillId="18" borderId="21" xfId="0" applyFont="1" applyFill="1" applyBorder="1" applyAlignment="1" applyProtection="1">
      <alignment horizontal="right"/>
    </xf>
    <xf numFmtId="0" fontId="14" fillId="18" borderId="21" xfId="0" applyFont="1" applyFill="1" applyBorder="1" applyAlignment="1" applyProtection="1">
      <alignment horizontal="right" vertical="center"/>
    </xf>
    <xf numFmtId="0" fontId="12" fillId="18" borderId="47" xfId="0" applyFont="1" applyFill="1" applyBorder="1" applyAlignment="1" applyProtection="1">
      <alignment horizontal="right"/>
    </xf>
    <xf numFmtId="0" fontId="10" fillId="16" borderId="34" xfId="0" applyFont="1" applyFill="1" applyBorder="1" applyAlignment="1" applyProtection="1">
      <alignment horizontal="left"/>
    </xf>
    <xf numFmtId="0" fontId="10" fillId="16" borderId="79" xfId="0" applyFont="1" applyFill="1" applyBorder="1" applyAlignment="1" applyProtection="1">
      <alignment horizontal="right"/>
    </xf>
    <xf numFmtId="0" fontId="10" fillId="16" borderId="35" xfId="0" applyFont="1" applyFill="1" applyBorder="1" applyAlignment="1" applyProtection="1">
      <alignment horizontal="right"/>
    </xf>
    <xf numFmtId="0" fontId="10" fillId="16" borderId="65" xfId="0" applyFont="1" applyFill="1" applyBorder="1" applyAlignment="1" applyProtection="1"/>
    <xf numFmtId="0" fontId="10" fillId="16" borderId="24" xfId="0" applyFont="1" applyFill="1" applyBorder="1" applyAlignment="1" applyProtection="1"/>
    <xf numFmtId="0" fontId="8" fillId="16" borderId="42" xfId="0" applyFont="1" applyFill="1" applyBorder="1" applyAlignment="1" applyProtection="1">
      <alignment horizontal="center" vertical="center"/>
    </xf>
    <xf numFmtId="0" fontId="8" fillId="16" borderId="38" xfId="0" applyFont="1" applyFill="1" applyBorder="1" applyAlignment="1" applyProtection="1">
      <alignment horizontal="center" vertical="center" wrapText="1"/>
    </xf>
    <xf numFmtId="0" fontId="9" fillId="16" borderId="40" xfId="0" applyFont="1" applyFill="1" applyBorder="1" applyAlignment="1" applyProtection="1">
      <alignment horizontal="center" vertical="center" wrapText="1"/>
    </xf>
    <xf numFmtId="0" fontId="9" fillId="16" borderId="61" xfId="0" applyFont="1" applyFill="1" applyBorder="1" applyAlignment="1" applyProtection="1">
      <alignment horizontal="center" vertical="center" wrapText="1"/>
    </xf>
    <xf numFmtId="9" fontId="9" fillId="16" borderId="38" xfId="2" applyFont="1" applyFill="1" applyBorder="1" applyAlignment="1" applyProtection="1">
      <alignment horizontal="center" vertical="center" wrapText="1"/>
    </xf>
    <xf numFmtId="0" fontId="9" fillId="16" borderId="54" xfId="0" applyFont="1" applyFill="1" applyBorder="1" applyAlignment="1" applyProtection="1">
      <alignment horizontal="center" vertical="center" wrapText="1"/>
    </xf>
    <xf numFmtId="0" fontId="14" fillId="16" borderId="7" xfId="0" applyFont="1" applyFill="1" applyBorder="1" applyAlignment="1" applyProtection="1">
      <alignment vertical="center" wrapText="1"/>
    </xf>
    <xf numFmtId="171" fontId="14" fillId="16" borderId="43" xfId="0" applyNumberFormat="1" applyFont="1" applyFill="1" applyBorder="1" applyAlignment="1" applyProtection="1">
      <alignment vertical="center" wrapText="1"/>
    </xf>
    <xf numFmtId="165" fontId="14" fillId="16" borderId="43" xfId="2" applyNumberFormat="1" applyFont="1" applyFill="1" applyBorder="1" applyAlignment="1" applyProtection="1">
      <alignment vertical="center" wrapText="1"/>
    </xf>
    <xf numFmtId="172" fontId="14" fillId="16" borderId="43" xfId="1" applyNumberFormat="1" applyFont="1" applyFill="1" applyBorder="1" applyAlignment="1" applyProtection="1">
      <alignment horizontal="center" vertical="center" wrapText="1"/>
    </xf>
    <xf numFmtId="9" fontId="14" fillId="16" borderId="43" xfId="2" applyFont="1" applyFill="1" applyBorder="1" applyAlignment="1" applyProtection="1">
      <alignment vertical="center" wrapText="1"/>
    </xf>
    <xf numFmtId="9" fontId="8" fillId="16" borderId="44" xfId="2" applyFont="1" applyFill="1" applyBorder="1" applyAlignment="1" applyProtection="1">
      <alignment horizontal="center" vertical="center"/>
    </xf>
    <xf numFmtId="171" fontId="8" fillId="16" borderId="56" xfId="0" applyNumberFormat="1" applyFont="1" applyFill="1" applyBorder="1" applyAlignment="1" applyProtection="1">
      <alignment horizontal="right" vertical="center"/>
    </xf>
    <xf numFmtId="171" fontId="8" fillId="16" borderId="5" xfId="0" applyNumberFormat="1" applyFont="1" applyFill="1" applyBorder="1" applyAlignment="1" applyProtection="1">
      <alignment horizontal="right" vertical="center"/>
    </xf>
    <xf numFmtId="0" fontId="12" fillId="16" borderId="3" xfId="0" applyFont="1" applyFill="1" applyBorder="1" applyAlignment="1" applyProtection="1">
      <alignment horizontal="center" vertical="center" wrapText="1"/>
    </xf>
    <xf numFmtId="172" fontId="12" fillId="14" borderId="1" xfId="1" applyNumberFormat="1" applyFont="1" applyFill="1" applyBorder="1" applyAlignment="1" applyProtection="1">
      <alignment horizontal="left" vertical="center" wrapText="1"/>
    </xf>
    <xf numFmtId="165" fontId="12" fillId="14" borderId="1" xfId="2" applyNumberFormat="1" applyFont="1" applyFill="1" applyBorder="1" applyAlignment="1" applyProtection="1">
      <alignment horizontal="right" vertical="center" wrapText="1"/>
    </xf>
    <xf numFmtId="44" fontId="12" fillId="14" borderId="1" xfId="1" applyFont="1" applyFill="1" applyBorder="1" applyAlignment="1" applyProtection="1">
      <alignment horizontal="right" vertical="center" wrapText="1"/>
    </xf>
    <xf numFmtId="0" fontId="12" fillId="14" borderId="1" xfId="0" applyFont="1" applyFill="1" applyBorder="1" applyAlignment="1" applyProtection="1">
      <alignment horizontal="right" vertical="center" wrapText="1"/>
    </xf>
    <xf numFmtId="165" fontId="14" fillId="14" borderId="3" xfId="2" applyNumberFormat="1" applyFont="1" applyFill="1" applyBorder="1" applyAlignment="1" applyProtection="1">
      <alignment vertical="center" wrapText="1"/>
    </xf>
    <xf numFmtId="165" fontId="14" fillId="14" borderId="1" xfId="2" applyNumberFormat="1" applyFont="1" applyFill="1" applyBorder="1" applyAlignment="1" applyProtection="1">
      <alignment vertical="center" wrapText="1"/>
    </xf>
    <xf numFmtId="9" fontId="14" fillId="14" borderId="3" xfId="2" applyFont="1" applyFill="1" applyBorder="1" applyAlignment="1" applyProtection="1">
      <alignment vertical="center" wrapText="1"/>
    </xf>
    <xf numFmtId="9" fontId="14" fillId="14" borderId="1" xfId="2" applyFont="1" applyFill="1" applyBorder="1" applyAlignment="1" applyProtection="1">
      <alignment vertical="center" wrapText="1"/>
    </xf>
    <xf numFmtId="171" fontId="8" fillId="14" borderId="23" xfId="1" applyNumberFormat="1" applyFont="1" applyFill="1" applyBorder="1" applyAlignment="1" applyProtection="1">
      <alignment horizontal="right" vertical="center"/>
    </xf>
    <xf numFmtId="9" fontId="14" fillId="14" borderId="62" xfId="2" applyFont="1" applyFill="1" applyBorder="1" applyAlignment="1" applyProtection="1">
      <alignment vertical="center" wrapText="1"/>
    </xf>
    <xf numFmtId="9" fontId="12" fillId="14" borderId="1" xfId="2" applyFont="1" applyFill="1" applyBorder="1" applyAlignment="1" applyProtection="1">
      <alignment horizontal="right" vertical="center" wrapText="1"/>
    </xf>
    <xf numFmtId="0" fontId="0" fillId="14" borderId="30" xfId="0" applyFill="1" applyBorder="1"/>
    <xf numFmtId="0" fontId="0" fillId="14" borderId="32" xfId="0" applyFill="1" applyBorder="1"/>
    <xf numFmtId="172" fontId="0" fillId="18" borderId="1" xfId="1" applyNumberFormat="1" applyFont="1" applyFill="1" applyBorder="1"/>
    <xf numFmtId="172" fontId="0" fillId="18" borderId="1" xfId="0" applyNumberFormat="1" applyFill="1" applyBorder="1"/>
    <xf numFmtId="172" fontId="0" fillId="18" borderId="57" xfId="1" applyNumberFormat="1" applyFont="1" applyFill="1" applyBorder="1"/>
    <xf numFmtId="172" fontId="0" fillId="18" borderId="57" xfId="0" applyNumberFormat="1" applyFill="1" applyBorder="1"/>
    <xf numFmtId="0" fontId="4" fillId="14" borderId="45" xfId="0" applyFont="1" applyFill="1" applyBorder="1" applyAlignment="1">
      <alignment horizontal="center"/>
    </xf>
    <xf numFmtId="0" fontId="4" fillId="14" borderId="73" xfId="0" applyFont="1" applyFill="1" applyBorder="1" applyAlignment="1">
      <alignment horizontal="center"/>
    </xf>
    <xf numFmtId="165" fontId="0" fillId="18" borderId="1" xfId="0" applyNumberFormat="1" applyFont="1" applyFill="1" applyBorder="1"/>
    <xf numFmtId="0" fontId="4" fillId="14" borderId="4" xfId="0" applyFont="1" applyFill="1" applyBorder="1" applyAlignment="1">
      <alignment horizontal="center"/>
    </xf>
    <xf numFmtId="0" fontId="0" fillId="14" borderId="30" xfId="0" applyFont="1" applyFill="1" applyBorder="1"/>
    <xf numFmtId="0" fontId="4" fillId="14" borderId="82" xfId="0" applyFont="1" applyFill="1" applyBorder="1" applyAlignment="1">
      <alignment horizontal="center"/>
    </xf>
    <xf numFmtId="0" fontId="4" fillId="14" borderId="85" xfId="0" applyFont="1" applyFill="1" applyBorder="1" applyAlignment="1">
      <alignment horizontal="center"/>
    </xf>
    <xf numFmtId="49" fontId="19" fillId="0" borderId="0" xfId="0" applyNumberFormat="1" applyFont="1" applyFill="1" applyBorder="1"/>
    <xf numFmtId="0" fontId="14" fillId="14" borderId="72" xfId="0" applyNumberFormat="1" applyFont="1" applyFill="1" applyBorder="1" applyAlignment="1" applyProtection="1">
      <alignment vertical="center" wrapText="1"/>
    </xf>
    <xf numFmtId="0" fontId="14" fillId="16" borderId="78" xfId="0" applyFont="1" applyFill="1" applyBorder="1" applyAlignment="1" applyProtection="1">
      <alignment vertical="center" wrapText="1"/>
    </xf>
    <xf numFmtId="0" fontId="12" fillId="14" borderId="30" xfId="0" applyFont="1" applyFill="1" applyBorder="1" applyAlignment="1" applyProtection="1">
      <alignment horizontal="left" vertical="center" wrapText="1"/>
    </xf>
    <xf numFmtId="0" fontId="12" fillId="16" borderId="32" xfId="0" applyFont="1" applyFill="1" applyBorder="1" applyAlignment="1" applyProtection="1">
      <alignment horizontal="left" vertical="center" wrapText="1"/>
    </xf>
    <xf numFmtId="172" fontId="12" fillId="16" borderId="57" xfId="0" applyNumberFormat="1" applyFont="1" applyFill="1" applyBorder="1" applyAlignment="1" applyProtection="1">
      <alignment horizontal="left" vertical="center" wrapText="1"/>
    </xf>
    <xf numFmtId="165" fontId="12" fillId="16" borderId="57" xfId="0" applyNumberFormat="1" applyFont="1" applyFill="1" applyBorder="1" applyAlignment="1" applyProtection="1">
      <alignment horizontal="right" vertical="center" wrapText="1"/>
    </xf>
    <xf numFmtId="44" fontId="12" fillId="16" borderId="57" xfId="0" applyNumberFormat="1" applyFont="1" applyFill="1" applyBorder="1" applyAlignment="1" applyProtection="1">
      <alignment horizontal="right" vertical="center" wrapText="1"/>
    </xf>
    <xf numFmtId="9" fontId="12" fillId="16" borderId="57" xfId="2" applyFont="1" applyFill="1" applyBorder="1" applyAlignment="1" applyProtection="1">
      <alignment horizontal="right" vertical="center" wrapText="1"/>
    </xf>
    <xf numFmtId="0" fontId="8" fillId="16" borderId="50" xfId="0" applyFont="1" applyFill="1" applyBorder="1" applyAlignment="1" applyProtection="1">
      <alignment horizontal="center" vertical="center" wrapText="1"/>
    </xf>
    <xf numFmtId="0" fontId="12" fillId="16" borderId="25" xfId="0" applyFont="1" applyFill="1" applyBorder="1" applyAlignment="1" applyProtection="1">
      <alignment horizontal="center" vertical="center" wrapText="1"/>
    </xf>
    <xf numFmtId="172" fontId="12" fillId="14" borderId="11" xfId="0" applyNumberFormat="1" applyFont="1" applyFill="1" applyBorder="1" applyAlignment="1" applyProtection="1">
      <alignment horizontal="left" vertical="center" wrapText="1"/>
    </xf>
    <xf numFmtId="172" fontId="12" fillId="16" borderId="83" xfId="0" applyNumberFormat="1" applyFont="1" applyFill="1" applyBorder="1" applyAlignment="1" applyProtection="1">
      <alignment horizontal="left" vertical="center" wrapText="1"/>
    </xf>
    <xf numFmtId="171" fontId="8" fillId="14" borderId="54" xfId="1" applyNumberFormat="1" applyFont="1" applyFill="1" applyBorder="1" applyAlignment="1" applyProtection="1">
      <alignment horizontal="right" vertical="center"/>
    </xf>
    <xf numFmtId="0" fontId="9" fillId="7" borderId="69" xfId="0" applyNumberFormat="1" applyFont="1" applyFill="1" applyBorder="1" applyAlignment="1" applyProtection="1">
      <alignment horizontal="left" vertical="center" wrapText="1"/>
    </xf>
    <xf numFmtId="0" fontId="0" fillId="7" borderId="69" xfId="0" applyFill="1" applyBorder="1"/>
    <xf numFmtId="0" fontId="16" fillId="7" borderId="71" xfId="0" applyFont="1" applyFill="1" applyBorder="1" applyAlignment="1" applyProtection="1">
      <alignment vertical="top" wrapText="1"/>
    </xf>
    <xf numFmtId="0" fontId="14" fillId="7" borderId="69" xfId="0" applyFont="1" applyFill="1" applyBorder="1" applyAlignment="1" applyProtection="1">
      <alignment horizontal="left" vertical="center"/>
    </xf>
    <xf numFmtId="0" fontId="0" fillId="7" borderId="59" xfId="0" applyFill="1" applyBorder="1" applyAlignment="1"/>
    <xf numFmtId="0" fontId="9" fillId="7" borderId="0" xfId="0" applyFont="1" applyFill="1" applyBorder="1" applyAlignment="1" applyProtection="1">
      <alignment vertical="center"/>
    </xf>
    <xf numFmtId="165" fontId="18" fillId="7" borderId="0" xfId="0" applyNumberFormat="1" applyFont="1" applyFill="1" applyBorder="1" applyAlignment="1" applyProtection="1">
      <alignment vertical="center"/>
    </xf>
    <xf numFmtId="0" fontId="18" fillId="7" borderId="0" xfId="0" applyFont="1" applyFill="1" applyBorder="1" applyAlignment="1" applyProtection="1">
      <alignment vertical="center"/>
    </xf>
    <xf numFmtId="0" fontId="9" fillId="7" borderId="25" xfId="0" applyFont="1" applyFill="1" applyBorder="1" applyAlignment="1" applyProtection="1">
      <alignment vertical="center"/>
    </xf>
    <xf numFmtId="0" fontId="9" fillId="7" borderId="26" xfId="0" applyFont="1" applyFill="1" applyBorder="1" applyAlignment="1" applyProtection="1">
      <alignment vertical="center"/>
    </xf>
    <xf numFmtId="172" fontId="0" fillId="18" borderId="2" xfId="1" applyNumberFormat="1" applyFont="1" applyFill="1" applyBorder="1"/>
    <xf numFmtId="165" fontId="0" fillId="18" borderId="2" xfId="0" applyNumberFormat="1" applyFont="1" applyFill="1" applyBorder="1"/>
    <xf numFmtId="0" fontId="4" fillId="14" borderId="72" xfId="0" applyFont="1" applyFill="1" applyBorder="1"/>
    <xf numFmtId="0" fontId="0" fillId="18" borderId="84" xfId="0" applyFill="1" applyBorder="1" applyAlignment="1">
      <alignment horizontal="center"/>
    </xf>
    <xf numFmtId="49" fontId="20" fillId="0" borderId="5" xfId="0" applyNumberFormat="1" applyFont="1" applyFill="1" applyBorder="1"/>
    <xf numFmtId="49" fontId="19" fillId="0" borderId="0" xfId="0" applyNumberFormat="1" applyFont="1" applyBorder="1"/>
    <xf numFmtId="9" fontId="19" fillId="5" borderId="0" xfId="2" applyFont="1" applyFill="1" applyBorder="1" applyAlignment="1">
      <alignment horizontal="center"/>
    </xf>
    <xf numFmtId="0" fontId="4" fillId="16" borderId="4" xfId="0" applyFont="1" applyFill="1" applyBorder="1" applyAlignment="1">
      <alignment horizontal="center"/>
    </xf>
    <xf numFmtId="0" fontId="0" fillId="18" borderId="28" xfId="0" applyFill="1" applyBorder="1" applyAlignment="1">
      <alignment horizontal="center"/>
    </xf>
    <xf numFmtId="0" fontId="0" fillId="18" borderId="90" xfId="0" applyFill="1" applyBorder="1" applyAlignment="1">
      <alignment horizontal="center"/>
    </xf>
    <xf numFmtId="0" fontId="4" fillId="16" borderId="13" xfId="0" applyFont="1" applyFill="1" applyBorder="1" applyAlignment="1">
      <alignment horizontal="center"/>
    </xf>
    <xf numFmtId="0" fontId="0" fillId="14" borderId="75" xfId="0" applyFill="1" applyBorder="1" applyAlignment="1"/>
    <xf numFmtId="0" fontId="0" fillId="14" borderId="65" xfId="0" applyFill="1" applyBorder="1" applyAlignment="1"/>
    <xf numFmtId="0" fontId="0" fillId="14" borderId="58" xfId="0" applyFill="1" applyBorder="1" applyAlignment="1"/>
    <xf numFmtId="0" fontId="0" fillId="14" borderId="65" xfId="0" applyFont="1" applyFill="1" applyBorder="1"/>
    <xf numFmtId="172" fontId="0" fillId="18" borderId="24" xfId="1" applyNumberFormat="1" applyFont="1" applyFill="1" applyBorder="1"/>
    <xf numFmtId="0" fontId="0" fillId="14" borderId="65" xfId="0" applyFill="1" applyBorder="1"/>
    <xf numFmtId="172" fontId="0" fillId="18" borderId="24" xfId="0" applyNumberFormat="1" applyFill="1" applyBorder="1"/>
    <xf numFmtId="0" fontId="0" fillId="18" borderId="65" xfId="0" applyFill="1" applyBorder="1"/>
    <xf numFmtId="172" fontId="0" fillId="18" borderId="28" xfId="0" applyNumberFormat="1" applyFill="1" applyBorder="1"/>
    <xf numFmtId="0" fontId="0" fillId="18" borderId="75" xfId="0" applyFill="1" applyBorder="1"/>
    <xf numFmtId="172" fontId="0" fillId="18" borderId="88" xfId="1" applyNumberFormat="1" applyFont="1" applyFill="1" applyBorder="1"/>
    <xf numFmtId="172" fontId="0" fillId="18" borderId="88" xfId="0" applyNumberFormat="1" applyFill="1" applyBorder="1"/>
    <xf numFmtId="172" fontId="0" fillId="18" borderId="90" xfId="0" applyNumberFormat="1" applyFill="1" applyBorder="1"/>
    <xf numFmtId="165" fontId="0" fillId="18" borderId="12" xfId="0" applyNumberFormat="1" applyFont="1" applyFill="1" applyBorder="1"/>
    <xf numFmtId="165" fontId="0" fillId="18" borderId="12" xfId="0" applyNumberFormat="1" applyFill="1" applyBorder="1"/>
    <xf numFmtId="0" fontId="0" fillId="14" borderId="91" xfId="0" applyFill="1" applyBorder="1"/>
    <xf numFmtId="172" fontId="0" fillId="18" borderId="51" xfId="0" applyNumberFormat="1" applyFill="1" applyBorder="1"/>
    <xf numFmtId="165" fontId="0" fillId="18" borderId="52" xfId="0" applyNumberFormat="1" applyFill="1" applyBorder="1"/>
    <xf numFmtId="172" fontId="0" fillId="18" borderId="1" xfId="0" applyNumberFormat="1" applyFill="1" applyBorder="1" applyAlignment="1"/>
    <xf numFmtId="172" fontId="0" fillId="18" borderId="57" xfId="0" applyNumberFormat="1" applyFill="1" applyBorder="1" applyAlignment="1"/>
    <xf numFmtId="172" fontId="9" fillId="14" borderId="25" xfId="1" applyNumberFormat="1" applyFont="1" applyFill="1" applyBorder="1" applyAlignment="1" applyProtection="1">
      <alignment horizontal="right" vertical="center"/>
    </xf>
    <xf numFmtId="0" fontId="0" fillId="12" borderId="0" xfId="0" applyFill="1"/>
    <xf numFmtId="0" fontId="4" fillId="12" borderId="0" xfId="0" applyFont="1" applyFill="1"/>
    <xf numFmtId="0" fontId="31" fillId="12" borderId="0" xfId="0" applyFont="1" applyFill="1"/>
    <xf numFmtId="0" fontId="23" fillId="12" borderId="0" xfId="0" applyFont="1" applyFill="1" applyAlignment="1">
      <alignment vertical="center"/>
    </xf>
    <xf numFmtId="0" fontId="7" fillId="12" borderId="0" xfId="0" applyFont="1" applyFill="1" applyBorder="1" applyAlignment="1" applyProtection="1">
      <alignment vertical="center"/>
    </xf>
    <xf numFmtId="0" fontId="9" fillId="12" borderId="4" xfId="0" applyFont="1" applyFill="1" applyBorder="1" applyAlignment="1" applyProtection="1">
      <alignment vertical="center"/>
    </xf>
    <xf numFmtId="165" fontId="18" fillId="12" borderId="69" xfId="0" applyNumberFormat="1" applyFont="1" applyFill="1" applyBorder="1" applyAlignment="1" applyProtection="1">
      <alignment vertical="center"/>
    </xf>
    <xf numFmtId="0" fontId="0" fillId="12" borderId="69" xfId="0" applyFill="1" applyBorder="1"/>
    <xf numFmtId="0" fontId="0" fillId="18" borderId="14" xfId="0" applyFill="1" applyBorder="1" applyAlignment="1">
      <alignment horizontal="center"/>
    </xf>
    <xf numFmtId="0" fontId="0" fillId="18" borderId="14" xfId="0" applyFill="1" applyBorder="1" applyAlignment="1">
      <alignment horizontal="center" wrapText="1"/>
    </xf>
    <xf numFmtId="0" fontId="0" fillId="18" borderId="28" xfId="0" applyFill="1" applyBorder="1" applyAlignment="1">
      <alignment horizontal="center" wrapText="1"/>
    </xf>
    <xf numFmtId="0" fontId="0" fillId="18" borderId="31" xfId="0" applyFill="1" applyBorder="1" applyAlignment="1">
      <alignment horizontal="center" wrapText="1"/>
    </xf>
    <xf numFmtId="0" fontId="0" fillId="18" borderId="48" xfId="0" applyFill="1" applyBorder="1" applyAlignment="1">
      <alignment horizontal="center" wrapText="1"/>
    </xf>
    <xf numFmtId="0" fontId="0" fillId="18" borderId="90" xfId="0" applyFill="1" applyBorder="1" applyAlignment="1">
      <alignment horizontal="center" wrapText="1"/>
    </xf>
    <xf numFmtId="172" fontId="12" fillId="14" borderId="1" xfId="1" applyNumberFormat="1" applyFont="1" applyFill="1" applyBorder="1" applyAlignment="1" applyProtection="1">
      <alignment horizontal="right" vertical="center" wrapText="1"/>
    </xf>
    <xf numFmtId="172" fontId="12" fillId="16" borderId="57" xfId="1" applyNumberFormat="1" applyFont="1" applyFill="1" applyBorder="1" applyAlignment="1" applyProtection="1">
      <alignment horizontal="right" vertical="center" wrapText="1"/>
    </xf>
    <xf numFmtId="172" fontId="9" fillId="14" borderId="3" xfId="1" applyNumberFormat="1" applyFont="1" applyFill="1" applyBorder="1" applyAlignment="1" applyProtection="1">
      <alignment vertical="center"/>
    </xf>
    <xf numFmtId="9" fontId="8" fillId="16" borderId="43" xfId="2" applyFont="1" applyFill="1" applyBorder="1" applyAlignment="1" applyProtection="1">
      <alignment vertical="center"/>
    </xf>
    <xf numFmtId="0" fontId="0" fillId="12" borderId="0" xfId="0" applyFill="1" applyBorder="1"/>
    <xf numFmtId="0" fontId="9" fillId="16" borderId="60" xfId="0" applyFont="1" applyFill="1" applyBorder="1" applyAlignment="1" applyProtection="1">
      <alignment horizontal="center" vertical="center" wrapText="1"/>
    </xf>
    <xf numFmtId="171" fontId="8" fillId="16" borderId="56" xfId="0" applyNumberFormat="1" applyFont="1" applyFill="1" applyBorder="1" applyAlignment="1" applyProtection="1">
      <alignment vertical="center"/>
    </xf>
    <xf numFmtId="172" fontId="9" fillId="14" borderId="85" xfId="1" applyNumberFormat="1" applyFont="1" applyFill="1" applyBorder="1" applyAlignment="1" applyProtection="1">
      <alignment vertical="center"/>
    </xf>
    <xf numFmtId="172" fontId="9" fillId="14" borderId="84" xfId="1" applyNumberFormat="1" applyFont="1" applyFill="1" applyBorder="1" applyAlignment="1" applyProtection="1">
      <alignment horizontal="right" vertical="center"/>
    </xf>
    <xf numFmtId="0" fontId="9" fillId="7" borderId="39" xfId="0" applyFont="1" applyFill="1" applyBorder="1" applyAlignment="1" applyProtection="1">
      <alignment vertical="center"/>
    </xf>
    <xf numFmtId="165" fontId="18" fillId="7" borderId="39" xfId="0" applyNumberFormat="1" applyFont="1" applyFill="1" applyBorder="1" applyAlignment="1" applyProtection="1">
      <alignment vertical="center"/>
    </xf>
    <xf numFmtId="0" fontId="18" fillId="7" borderId="39" xfId="0" applyFont="1" applyFill="1" applyBorder="1" applyAlignment="1" applyProtection="1">
      <alignment vertical="center"/>
    </xf>
    <xf numFmtId="0" fontId="9" fillId="16" borderId="37" xfId="0" applyFont="1" applyFill="1" applyBorder="1" applyAlignment="1" applyProtection="1">
      <alignment horizontal="center" vertical="center" wrapText="1"/>
    </xf>
    <xf numFmtId="0" fontId="14" fillId="17" borderId="27" xfId="0" applyFont="1" applyFill="1" applyBorder="1" applyAlignment="1" applyProtection="1">
      <alignment vertical="center" wrapText="1"/>
    </xf>
    <xf numFmtId="9" fontId="12" fillId="16" borderId="3" xfId="2" applyFont="1" applyFill="1" applyBorder="1" applyAlignment="1" applyProtection="1">
      <alignment horizontal="center" vertical="center" wrapText="1"/>
    </xf>
    <xf numFmtId="0" fontId="22" fillId="12" borderId="0" xfId="0" applyFont="1" applyFill="1" applyBorder="1" applyAlignment="1" applyProtection="1">
      <alignment vertical="center"/>
    </xf>
    <xf numFmtId="0" fontId="8" fillId="16" borderId="56" xfId="0" applyFont="1" applyFill="1" applyBorder="1" applyAlignment="1" applyProtection="1">
      <alignment horizontal="center" vertical="center"/>
    </xf>
    <xf numFmtId="172" fontId="10" fillId="16" borderId="23" xfId="1" applyNumberFormat="1" applyFont="1" applyFill="1" applyBorder="1" applyAlignment="1" applyProtection="1">
      <alignment vertical="center"/>
    </xf>
    <xf numFmtId="172" fontId="10" fillId="14" borderId="14" xfId="1" applyNumberFormat="1" applyFont="1" applyFill="1" applyBorder="1" applyAlignment="1" applyProtection="1">
      <alignment vertical="center"/>
    </xf>
    <xf numFmtId="172" fontId="10" fillId="16" borderId="14" xfId="1" applyNumberFormat="1" applyFont="1" applyFill="1" applyBorder="1" applyAlignment="1" applyProtection="1">
      <alignment vertical="center"/>
    </xf>
    <xf numFmtId="172" fontId="10" fillId="14" borderId="18" xfId="1" applyNumberFormat="1" applyFont="1" applyFill="1" applyBorder="1" applyAlignment="1" applyProtection="1">
      <alignment vertical="center"/>
    </xf>
    <xf numFmtId="172" fontId="10" fillId="16" borderId="93" xfId="1" applyNumberFormat="1" applyFont="1" applyFill="1" applyBorder="1" applyAlignment="1" applyProtection="1">
      <alignment vertical="center"/>
    </xf>
    <xf numFmtId="172" fontId="9" fillId="18" borderId="39" xfId="1" applyNumberFormat="1" applyFont="1" applyFill="1" applyBorder="1" applyAlignment="1" applyProtection="1">
      <alignment horizontal="right"/>
    </xf>
    <xf numFmtId="172" fontId="8" fillId="14" borderId="14" xfId="1" applyNumberFormat="1" applyFont="1" applyFill="1" applyBorder="1" applyAlignment="1" applyProtection="1">
      <alignment vertical="center"/>
    </xf>
    <xf numFmtId="172" fontId="9" fillId="14" borderId="14" xfId="1" applyNumberFormat="1" applyFont="1" applyFill="1" applyBorder="1" applyAlignment="1" applyProtection="1">
      <alignment vertical="center"/>
    </xf>
    <xf numFmtId="172" fontId="12" fillId="14" borderId="14" xfId="1" applyNumberFormat="1" applyFont="1" applyFill="1" applyBorder="1" applyAlignment="1" applyProtection="1">
      <alignment vertical="center"/>
    </xf>
    <xf numFmtId="172" fontId="11" fillId="18" borderId="47" xfId="1" applyNumberFormat="1" applyFont="1" applyFill="1" applyBorder="1" applyAlignment="1" applyProtection="1">
      <alignment vertical="center"/>
    </xf>
    <xf numFmtId="172" fontId="8" fillId="16" borderId="93" xfId="1" applyNumberFormat="1" applyFont="1" applyFill="1" applyBorder="1" applyAlignment="1" applyProtection="1">
      <alignment vertical="center"/>
    </xf>
    <xf numFmtId="172" fontId="15" fillId="16" borderId="53" xfId="1" applyNumberFormat="1" applyFont="1" applyFill="1" applyBorder="1" applyAlignment="1" applyProtection="1"/>
    <xf numFmtId="0" fontId="0" fillId="18" borderId="55" xfId="0" applyFill="1" applyBorder="1" applyAlignment="1">
      <alignment horizontal="center" wrapText="1"/>
    </xf>
    <xf numFmtId="0" fontId="0" fillId="18" borderId="33" xfId="0" applyFill="1" applyBorder="1" applyAlignment="1">
      <alignment horizontal="center" wrapText="1"/>
    </xf>
    <xf numFmtId="165" fontId="14" fillId="14" borderId="62" xfId="2" applyNumberFormat="1" applyFont="1" applyFill="1" applyBorder="1" applyAlignment="1" applyProtection="1">
      <alignment vertical="center" wrapText="1"/>
    </xf>
    <xf numFmtId="172" fontId="14" fillId="0" borderId="1" xfId="1" applyNumberFormat="1" applyFont="1" applyFill="1" applyBorder="1" applyAlignment="1" applyProtection="1">
      <alignment vertical="center" wrapText="1"/>
    </xf>
    <xf numFmtId="172" fontId="14" fillId="0" borderId="2" xfId="1" applyNumberFormat="1" applyFont="1" applyFill="1" applyBorder="1" applyAlignment="1" applyProtection="1">
      <alignment vertical="center" wrapText="1"/>
    </xf>
    <xf numFmtId="0" fontId="0" fillId="14" borderId="68" xfId="0" applyFont="1" applyFill="1" applyBorder="1"/>
    <xf numFmtId="0" fontId="0" fillId="14" borderId="7" xfId="0" applyFont="1" applyFill="1" applyBorder="1"/>
    <xf numFmtId="172" fontId="0" fillId="18" borderId="43" xfId="1" applyNumberFormat="1" applyFont="1" applyFill="1" applyBorder="1"/>
    <xf numFmtId="165" fontId="0" fillId="18" borderId="8" xfId="0" applyNumberFormat="1" applyFont="1" applyFill="1" applyBorder="1"/>
    <xf numFmtId="0" fontId="0" fillId="14" borderId="7" xfId="0" applyFill="1" applyBorder="1"/>
    <xf numFmtId="172" fontId="0" fillId="18" borderId="10" xfId="0" applyNumberFormat="1" applyFill="1" applyBorder="1"/>
    <xf numFmtId="165" fontId="0" fillId="18" borderId="8" xfId="2" applyNumberFormat="1" applyFont="1" applyFill="1" applyBorder="1"/>
    <xf numFmtId="172" fontId="14" fillId="18" borderId="94" xfId="1" applyNumberFormat="1" applyFont="1" applyFill="1" applyBorder="1" applyAlignment="1" applyProtection="1">
      <alignment horizontal="right" vertical="center"/>
    </xf>
    <xf numFmtId="172" fontId="13" fillId="0" borderId="5" xfId="1" applyNumberFormat="1" applyFont="1" applyFill="1" applyBorder="1" applyAlignment="1" applyProtection="1">
      <protection locked="0"/>
    </xf>
    <xf numFmtId="0" fontId="30" fillId="12" borderId="0" xfId="0" applyFont="1" applyFill="1"/>
    <xf numFmtId="0" fontId="34" fillId="12" borderId="0" xfId="0" applyFont="1" applyFill="1"/>
    <xf numFmtId="0" fontId="0" fillId="14" borderId="75" xfId="0" applyFill="1" applyBorder="1" applyAlignment="1">
      <alignment wrapText="1"/>
    </xf>
    <xf numFmtId="0" fontId="36" fillId="12" borderId="0" xfId="0" applyFont="1" applyFill="1"/>
    <xf numFmtId="0" fontId="0" fillId="14" borderId="65" xfId="0" applyFill="1" applyBorder="1" applyAlignment="1">
      <alignment vertical="center"/>
    </xf>
    <xf numFmtId="0" fontId="20" fillId="0" borderId="1" xfId="0" applyFont="1" applyBorder="1" applyAlignment="1">
      <alignment horizontal="center"/>
    </xf>
    <xf numFmtId="9" fontId="0" fillId="5" borderId="2" xfId="0" applyNumberFormat="1" applyFill="1" applyBorder="1" applyAlignment="1">
      <alignment horizontal="right"/>
    </xf>
    <xf numFmtId="0" fontId="0" fillId="5" borderId="3" xfId="0" applyFill="1" applyBorder="1" applyAlignment="1">
      <alignment horizontal="right"/>
    </xf>
    <xf numFmtId="0" fontId="0" fillId="2" borderId="0" xfId="0" applyFill="1" applyAlignment="1">
      <alignment horizontal="center"/>
    </xf>
    <xf numFmtId="0" fontId="0" fillId="0" borderId="1" xfId="0" applyBorder="1" applyAlignment="1">
      <alignment horizontal="center"/>
    </xf>
    <xf numFmtId="0" fontId="0" fillId="2" borderId="1" xfId="0" applyFill="1"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9" fillId="10" borderId="25" xfId="0" applyFont="1" applyFill="1" applyBorder="1" applyAlignment="1" applyProtection="1">
      <alignment horizontal="center" vertical="center" wrapText="1"/>
    </xf>
    <xf numFmtId="0" fontId="9" fillId="10" borderId="49" xfId="0" applyFont="1" applyFill="1" applyBorder="1" applyAlignment="1" applyProtection="1">
      <alignment horizontal="center" vertical="center" wrapText="1"/>
    </xf>
    <xf numFmtId="171" fontId="9" fillId="11" borderId="11" xfId="1" applyNumberFormat="1" applyFont="1" applyFill="1" applyBorder="1" applyAlignment="1" applyProtection="1">
      <alignment horizontal="right" vertical="center"/>
    </xf>
    <xf numFmtId="171" fontId="9" fillId="11" borderId="28" xfId="1" applyNumberFormat="1" applyFont="1" applyFill="1" applyBorder="1" applyAlignment="1" applyProtection="1">
      <alignment horizontal="right" vertical="center"/>
    </xf>
    <xf numFmtId="171" fontId="9" fillId="11" borderId="11" xfId="1" applyNumberFormat="1" applyFont="1" applyFill="1" applyBorder="1" applyAlignment="1" applyProtection="1">
      <alignment horizontal="center" vertical="center"/>
    </xf>
    <xf numFmtId="171" fontId="9" fillId="11" borderId="28" xfId="1" applyNumberFormat="1" applyFont="1" applyFill="1" applyBorder="1" applyAlignment="1" applyProtection="1">
      <alignment horizontal="center" vertical="center"/>
    </xf>
    <xf numFmtId="171" fontId="8" fillId="10" borderId="19" xfId="1" quotePrefix="1" applyNumberFormat="1" applyFont="1" applyFill="1" applyBorder="1" applyAlignment="1" applyProtection="1">
      <alignment horizontal="right" vertical="center"/>
    </xf>
    <xf numFmtId="171" fontId="8" fillId="10" borderId="22" xfId="1" quotePrefix="1" applyNumberFormat="1" applyFont="1" applyFill="1" applyBorder="1" applyAlignment="1" applyProtection="1">
      <alignment horizontal="right" vertical="center"/>
    </xf>
    <xf numFmtId="171" fontId="18" fillId="13" borderId="19" xfId="0" applyNumberFormat="1" applyFont="1" applyFill="1" applyBorder="1" applyAlignment="1" applyProtection="1">
      <alignment horizontal="center" vertical="center"/>
    </xf>
    <xf numFmtId="171" fontId="18" fillId="13" borderId="22" xfId="0" applyNumberFormat="1" applyFont="1" applyFill="1" applyBorder="1" applyAlignment="1" applyProtection="1">
      <alignment horizontal="center" vertical="center"/>
    </xf>
    <xf numFmtId="0" fontId="16" fillId="0" borderId="37" xfId="0" applyFont="1" applyBorder="1" applyAlignment="1" applyProtection="1">
      <alignment horizontal="left" vertical="top" wrapText="1"/>
    </xf>
    <xf numFmtId="0" fontId="8" fillId="10" borderId="2" xfId="0" applyFont="1" applyFill="1" applyBorder="1" applyAlignment="1" applyProtection="1">
      <alignment horizontal="center" vertical="center" wrapText="1"/>
    </xf>
    <xf numFmtId="0" fontId="8" fillId="10" borderId="38" xfId="0" applyFont="1" applyFill="1" applyBorder="1" applyAlignment="1" applyProtection="1">
      <alignment horizontal="center" vertical="center" wrapText="1"/>
    </xf>
    <xf numFmtId="0" fontId="8" fillId="10" borderId="37" xfId="0" applyFont="1" applyFill="1" applyBorder="1" applyAlignment="1" applyProtection="1">
      <alignment horizontal="center" vertical="center" wrapText="1"/>
    </xf>
    <xf numFmtId="0" fontId="17" fillId="10" borderId="38" xfId="0" applyFont="1" applyFill="1" applyBorder="1" applyAlignment="1" applyProtection="1">
      <alignment horizontal="center" vertical="center" wrapText="1"/>
    </xf>
    <xf numFmtId="0" fontId="17" fillId="10" borderId="39" xfId="0" applyFont="1" applyFill="1" applyBorder="1" applyAlignment="1" applyProtection="1">
      <alignment horizontal="center" vertical="center" wrapText="1"/>
    </xf>
    <xf numFmtId="171" fontId="9" fillId="11" borderId="16" xfId="1" applyNumberFormat="1" applyFont="1" applyFill="1" applyBorder="1" applyAlignment="1" applyProtection="1">
      <alignment horizontal="right" vertical="center"/>
    </xf>
    <xf numFmtId="171" fontId="9" fillId="11" borderId="47" xfId="1" applyNumberFormat="1" applyFont="1" applyFill="1" applyBorder="1" applyAlignment="1" applyProtection="1">
      <alignment horizontal="right" vertical="center"/>
    </xf>
    <xf numFmtId="0" fontId="0" fillId="7" borderId="6" xfId="0" applyFont="1" applyFill="1" applyBorder="1" applyAlignment="1">
      <alignment horizontal="center" vertical="center"/>
    </xf>
    <xf numFmtId="0" fontId="7" fillId="0" borderId="4"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7" fillId="0" borderId="36" xfId="0" applyFont="1" applyFill="1" applyBorder="1" applyAlignment="1" applyProtection="1">
      <alignment horizontal="center" vertical="center"/>
    </xf>
    <xf numFmtId="0" fontId="8" fillId="10" borderId="50" xfId="0" applyFont="1" applyFill="1" applyBorder="1" applyAlignment="1" applyProtection="1">
      <alignment horizontal="center" vertical="center" wrapText="1"/>
    </xf>
    <xf numFmtId="0" fontId="8" fillId="10" borderId="51" xfId="0" applyFont="1" applyFill="1" applyBorder="1" applyAlignment="1" applyProtection="1">
      <alignment horizontal="center" vertical="center" wrapText="1"/>
    </xf>
    <xf numFmtId="0" fontId="8" fillId="10" borderId="52" xfId="0" applyFont="1" applyFill="1" applyBorder="1" applyAlignment="1" applyProtection="1">
      <alignment horizontal="center" vertical="center" wrapText="1"/>
    </xf>
    <xf numFmtId="0" fontId="9" fillId="10" borderId="41" xfId="0" applyFont="1" applyFill="1" applyBorder="1" applyAlignment="1" applyProtection="1">
      <alignment horizontal="center" vertical="center" wrapText="1"/>
    </xf>
    <xf numFmtId="0" fontId="9" fillId="10" borderId="36" xfId="0" applyFont="1" applyFill="1" applyBorder="1" applyAlignment="1" applyProtection="1">
      <alignment horizontal="center" vertical="center" wrapText="1"/>
    </xf>
    <xf numFmtId="171" fontId="8" fillId="10" borderId="44" xfId="0" applyNumberFormat="1" applyFont="1" applyFill="1" applyBorder="1" applyAlignment="1" applyProtection="1">
      <alignment horizontal="right" vertical="center"/>
    </xf>
    <xf numFmtId="171" fontId="8" fillId="10" borderId="8" xfId="0" applyNumberFormat="1" applyFont="1" applyFill="1" applyBorder="1" applyAlignment="1" applyProtection="1">
      <alignment horizontal="right" vertical="center"/>
    </xf>
    <xf numFmtId="171" fontId="9" fillId="11" borderId="45" xfId="1" applyNumberFormat="1" applyFont="1" applyFill="1" applyBorder="1" applyAlignment="1" applyProtection="1">
      <alignment horizontal="right" vertical="center"/>
    </xf>
    <xf numFmtId="171" fontId="9" fillId="11" borderId="46" xfId="1" applyNumberFormat="1" applyFont="1" applyFill="1" applyBorder="1" applyAlignment="1" applyProtection="1">
      <alignment horizontal="right" vertical="center"/>
    </xf>
    <xf numFmtId="0" fontId="20" fillId="0" borderId="1" xfId="0" applyFont="1" applyBorder="1" applyAlignment="1">
      <alignment horizontal="center" vertical="center"/>
    </xf>
    <xf numFmtId="0" fontId="4" fillId="17" borderId="7" xfId="0" applyFont="1" applyFill="1" applyBorder="1" applyAlignment="1">
      <alignment horizontal="center"/>
    </xf>
    <xf numFmtId="0" fontId="4" fillId="17" borderId="8" xfId="0" applyFont="1" applyFill="1" applyBorder="1" applyAlignment="1">
      <alignment horizontal="center"/>
    </xf>
    <xf numFmtId="0" fontId="4" fillId="17" borderId="42" xfId="0" applyFont="1" applyFill="1" applyBorder="1" applyAlignment="1">
      <alignment horizontal="center"/>
    </xf>
    <xf numFmtId="0" fontId="4" fillId="17" borderId="43" xfId="0" applyFont="1" applyFill="1" applyBorder="1" applyAlignment="1">
      <alignment horizontal="center"/>
    </xf>
    <xf numFmtId="0" fontId="4" fillId="17" borderId="56" xfId="0" applyFont="1" applyFill="1" applyBorder="1" applyAlignment="1">
      <alignment horizontal="center"/>
    </xf>
    <xf numFmtId="0" fontId="4" fillId="16" borderId="63" xfId="0" applyFont="1" applyFill="1" applyBorder="1" applyAlignment="1">
      <alignment horizontal="center"/>
    </xf>
    <xf numFmtId="0" fontId="4" fillId="16" borderId="26" xfId="0" applyFont="1" applyFill="1" applyBorder="1" applyAlignment="1">
      <alignment horizontal="center"/>
    </xf>
    <xf numFmtId="0" fontId="0" fillId="12" borderId="65" xfId="0" applyFill="1" applyBorder="1" applyAlignment="1">
      <alignment horizontal="left"/>
    </xf>
    <xf numFmtId="0" fontId="0" fillId="12" borderId="28" xfId="0" applyFill="1" applyBorder="1" applyAlignment="1">
      <alignment horizontal="left"/>
    </xf>
    <xf numFmtId="0" fontId="30" fillId="0" borderId="0" xfId="0" applyFont="1" applyAlignment="1">
      <alignment horizontal="left" vertical="center"/>
    </xf>
    <xf numFmtId="0" fontId="30" fillId="0" borderId="0" xfId="0" applyFont="1" applyAlignment="1">
      <alignment horizontal="left" wrapText="1"/>
    </xf>
    <xf numFmtId="0" fontId="30" fillId="0" borderId="0" xfId="0" applyFont="1" applyAlignment="1">
      <alignment horizontal="left" vertical="center" wrapText="1"/>
    </xf>
    <xf numFmtId="0" fontId="30" fillId="0" borderId="95" xfId="0" applyFont="1" applyBorder="1" applyAlignment="1">
      <alignment horizontal="left" wrapText="1"/>
    </xf>
    <xf numFmtId="170" fontId="9" fillId="0" borderId="11" xfId="1" applyNumberFormat="1" applyFont="1" applyFill="1" applyBorder="1" applyAlignment="1" applyProtection="1">
      <alignment horizontal="right" vertical="center"/>
      <protection locked="0"/>
    </xf>
    <xf numFmtId="170" fontId="9" fillId="0" borderId="12" xfId="1" applyNumberFormat="1" applyFont="1" applyFill="1" applyBorder="1" applyAlignment="1" applyProtection="1">
      <alignment horizontal="right" vertical="center"/>
      <protection locked="0"/>
    </xf>
    <xf numFmtId="170" fontId="10" fillId="14" borderId="65" xfId="1" applyNumberFormat="1" applyFont="1" applyFill="1" applyBorder="1" applyAlignment="1" applyProtection="1">
      <alignment horizontal="center" vertical="center"/>
    </xf>
    <xf numFmtId="170" fontId="10" fillId="14" borderId="28" xfId="1" applyNumberFormat="1" applyFont="1" applyFill="1" applyBorder="1" applyAlignment="1" applyProtection="1">
      <alignment horizontal="center" vertical="center"/>
    </xf>
    <xf numFmtId="0" fontId="22" fillId="17" borderId="7" xfId="0" applyFont="1" applyFill="1" applyBorder="1" applyAlignment="1" applyProtection="1">
      <alignment horizontal="center" vertical="center"/>
    </xf>
    <xf numFmtId="0" fontId="22" fillId="17" borderId="10" xfId="0" applyFont="1" applyFill="1" applyBorder="1" applyAlignment="1" applyProtection="1">
      <alignment horizontal="center" vertical="center"/>
    </xf>
    <xf numFmtId="0" fontId="22" fillId="17" borderId="8" xfId="0" applyFont="1" applyFill="1" applyBorder="1" applyAlignment="1" applyProtection="1">
      <alignment horizontal="center" vertical="center"/>
    </xf>
    <xf numFmtId="0" fontId="8" fillId="16" borderId="44" xfId="0" applyFont="1" applyFill="1" applyBorder="1" applyAlignment="1" applyProtection="1">
      <alignment horizontal="center" vertical="center"/>
    </xf>
    <xf numFmtId="0" fontId="8" fillId="16" borderId="70" xfId="0" applyFont="1" applyFill="1" applyBorder="1" applyAlignment="1" applyProtection="1">
      <alignment horizontal="center" vertical="center"/>
    </xf>
    <xf numFmtId="0" fontId="8" fillId="16" borderId="8" xfId="0" applyFont="1" applyFill="1" applyBorder="1" applyAlignment="1" applyProtection="1">
      <alignment horizontal="center" vertical="center"/>
    </xf>
    <xf numFmtId="170" fontId="9" fillId="16" borderId="25" xfId="1" applyNumberFormat="1" applyFont="1" applyFill="1" applyBorder="1" applyAlignment="1" applyProtection="1">
      <alignment horizontal="right" vertical="center"/>
    </xf>
    <xf numFmtId="170" fontId="9" fillId="16" borderId="64" xfId="1" applyNumberFormat="1" applyFont="1" applyFill="1" applyBorder="1" applyAlignment="1" applyProtection="1">
      <alignment horizontal="right" vertical="center"/>
    </xf>
    <xf numFmtId="170" fontId="10" fillId="16" borderId="63" xfId="1" applyNumberFormat="1" applyFont="1" applyFill="1" applyBorder="1" applyAlignment="1" applyProtection="1">
      <alignment horizontal="center" vertical="center"/>
    </xf>
    <xf numFmtId="170" fontId="10" fillId="16" borderId="49" xfId="1" applyNumberFormat="1" applyFont="1" applyFill="1" applyBorder="1" applyAlignment="1" applyProtection="1">
      <alignment horizontal="center" vertical="center"/>
    </xf>
    <xf numFmtId="170" fontId="9" fillId="16" borderId="11" xfId="1" applyNumberFormat="1" applyFont="1" applyFill="1" applyBorder="1" applyAlignment="1" applyProtection="1">
      <alignment horizontal="right" vertical="center"/>
    </xf>
    <xf numFmtId="170" fontId="9" fillId="16" borderId="12" xfId="1" applyNumberFormat="1" applyFont="1" applyFill="1" applyBorder="1" applyAlignment="1" applyProtection="1">
      <alignment horizontal="right" vertical="center"/>
    </xf>
    <xf numFmtId="170" fontId="10" fillId="16" borderId="65" xfId="1" applyNumberFormat="1" applyFont="1" applyFill="1" applyBorder="1" applyAlignment="1" applyProtection="1">
      <alignment horizontal="center" vertical="center"/>
    </xf>
    <xf numFmtId="170" fontId="10" fillId="16" borderId="28" xfId="1" applyNumberFormat="1" applyFont="1" applyFill="1" applyBorder="1" applyAlignment="1" applyProtection="1">
      <alignment horizontal="center" vertical="center"/>
    </xf>
    <xf numFmtId="170" fontId="9" fillId="0" borderId="16" xfId="1" applyNumberFormat="1" applyFont="1" applyFill="1" applyBorder="1" applyAlignment="1" applyProtection="1">
      <alignment horizontal="right" vertical="center"/>
      <protection locked="0"/>
    </xf>
    <xf numFmtId="170" fontId="9" fillId="0" borderId="17" xfId="1" applyNumberFormat="1" applyFont="1" applyFill="1" applyBorder="1" applyAlignment="1" applyProtection="1">
      <alignment horizontal="right" vertical="center"/>
      <protection locked="0"/>
    </xf>
    <xf numFmtId="170" fontId="10" fillId="14" borderId="66" xfId="1" applyNumberFormat="1" applyFont="1" applyFill="1" applyBorder="1" applyAlignment="1" applyProtection="1">
      <alignment horizontal="center" vertical="center"/>
    </xf>
    <xf numFmtId="170" fontId="10" fillId="14" borderId="47" xfId="1" applyNumberFormat="1" applyFont="1" applyFill="1" applyBorder="1" applyAlignment="1" applyProtection="1">
      <alignment horizontal="center" vertical="center"/>
    </xf>
    <xf numFmtId="170" fontId="8" fillId="16" borderId="19" xfId="1" applyNumberFormat="1" applyFont="1" applyFill="1" applyBorder="1" applyAlignment="1" applyProtection="1">
      <alignment horizontal="right" vertical="center"/>
    </xf>
    <xf numFmtId="170" fontId="8" fillId="16" borderId="20" xfId="1" applyNumberFormat="1" applyFont="1" applyFill="1" applyBorder="1" applyAlignment="1" applyProtection="1">
      <alignment horizontal="right" vertical="center"/>
    </xf>
    <xf numFmtId="170" fontId="10" fillId="16" borderId="67" xfId="1" applyNumberFormat="1" applyFont="1" applyFill="1" applyBorder="1" applyAlignment="1" applyProtection="1">
      <alignment horizontal="center" vertical="center"/>
    </xf>
    <xf numFmtId="170" fontId="10" fillId="16" borderId="22" xfId="1" applyNumberFormat="1" applyFont="1" applyFill="1" applyBorder="1" applyAlignment="1" applyProtection="1">
      <alignment horizontal="center" vertical="center"/>
    </xf>
    <xf numFmtId="170" fontId="12" fillId="14" borderId="11" xfId="1" applyNumberFormat="1" applyFont="1" applyFill="1" applyBorder="1" applyAlignment="1" applyProtection="1">
      <alignment horizontal="right" vertical="center"/>
    </xf>
    <xf numFmtId="170" fontId="12" fillId="14" borderId="12" xfId="1" applyNumberFormat="1" applyFont="1" applyFill="1" applyBorder="1" applyAlignment="1" applyProtection="1">
      <alignment horizontal="right" vertical="center"/>
    </xf>
    <xf numFmtId="170" fontId="12" fillId="14" borderId="65" xfId="1" applyNumberFormat="1" applyFont="1" applyFill="1" applyBorder="1" applyAlignment="1" applyProtection="1">
      <alignment horizontal="center" vertical="center"/>
    </xf>
    <xf numFmtId="170" fontId="12" fillId="14" borderId="28" xfId="1" applyNumberFormat="1" applyFont="1" applyFill="1" applyBorder="1" applyAlignment="1" applyProtection="1">
      <alignment horizontal="center" vertical="center"/>
    </xf>
    <xf numFmtId="170" fontId="8" fillId="16" borderId="67" xfId="1" applyNumberFormat="1" applyFont="1" applyFill="1" applyBorder="1" applyAlignment="1" applyProtection="1">
      <alignment horizontal="center" vertical="center"/>
    </xf>
    <xf numFmtId="170" fontId="8" fillId="16" borderId="22" xfId="1" applyNumberFormat="1" applyFont="1" applyFill="1" applyBorder="1" applyAlignment="1" applyProtection="1">
      <alignment horizontal="center" vertical="center"/>
    </xf>
    <xf numFmtId="170" fontId="9" fillId="14" borderId="11" xfId="1" applyNumberFormat="1" applyFont="1" applyFill="1" applyBorder="1" applyAlignment="1" applyProtection="1">
      <alignment horizontal="right" vertical="center"/>
    </xf>
    <xf numFmtId="170" fontId="9" fillId="14" borderId="12" xfId="1" applyNumberFormat="1" applyFont="1" applyFill="1" applyBorder="1" applyAlignment="1" applyProtection="1">
      <alignment horizontal="right" vertical="center"/>
    </xf>
    <xf numFmtId="170" fontId="8" fillId="14" borderId="65" xfId="1" applyNumberFormat="1" applyFont="1" applyFill="1" applyBorder="1" applyAlignment="1" applyProtection="1">
      <alignment horizontal="center" vertical="center"/>
    </xf>
    <xf numFmtId="170" fontId="8" fillId="14" borderId="28" xfId="1" applyNumberFormat="1" applyFont="1" applyFill="1" applyBorder="1" applyAlignment="1" applyProtection="1">
      <alignment horizontal="center" vertical="center"/>
    </xf>
    <xf numFmtId="170" fontId="9" fillId="14" borderId="65" xfId="1" applyNumberFormat="1" applyFont="1" applyFill="1" applyBorder="1" applyAlignment="1" applyProtection="1">
      <alignment horizontal="center" vertical="center"/>
    </xf>
    <xf numFmtId="170" fontId="9" fillId="14" borderId="28" xfId="1" applyNumberFormat="1" applyFont="1" applyFill="1" applyBorder="1" applyAlignment="1" applyProtection="1">
      <alignment horizontal="center" vertical="center"/>
    </xf>
    <xf numFmtId="171" fontId="13" fillId="0" borderId="65" xfId="0" applyNumberFormat="1" applyFont="1" applyFill="1" applyBorder="1" applyAlignment="1" applyProtection="1">
      <alignment horizontal="center"/>
      <protection locked="0"/>
    </xf>
    <xf numFmtId="171" fontId="13" fillId="0" borderId="28" xfId="0" applyNumberFormat="1" applyFont="1" applyFill="1" applyBorder="1" applyAlignment="1" applyProtection="1">
      <alignment horizontal="center"/>
      <protection locked="0"/>
    </xf>
    <xf numFmtId="0" fontId="12" fillId="18" borderId="21" xfId="0" applyFont="1" applyFill="1" applyBorder="1" applyAlignment="1" applyProtection="1">
      <alignment horizontal="right"/>
    </xf>
    <xf numFmtId="171" fontId="15" fillId="16" borderId="80" xfId="0" applyNumberFormat="1" applyFont="1" applyFill="1" applyBorder="1" applyAlignment="1" applyProtection="1">
      <alignment horizontal="center"/>
    </xf>
    <xf numFmtId="171" fontId="15" fillId="16" borderId="81" xfId="0" applyNumberFormat="1" applyFont="1" applyFill="1" applyBorder="1" applyAlignment="1" applyProtection="1">
      <alignment horizontal="center"/>
    </xf>
    <xf numFmtId="0" fontId="22" fillId="17" borderId="4" xfId="0" applyFont="1" applyFill="1" applyBorder="1" applyAlignment="1" applyProtection="1">
      <alignment horizontal="center" vertical="center"/>
    </xf>
    <xf numFmtId="0" fontId="16" fillId="17" borderId="71" xfId="0" applyFont="1" applyFill="1" applyBorder="1" applyAlignment="1" applyProtection="1">
      <alignment horizontal="left" vertical="top" wrapText="1"/>
    </xf>
    <xf numFmtId="0" fontId="8" fillId="16" borderId="50" xfId="0" applyFont="1" applyFill="1" applyBorder="1" applyAlignment="1" applyProtection="1">
      <alignment horizontal="center" vertical="center" wrapText="1"/>
    </xf>
    <xf numFmtId="0" fontId="8" fillId="16" borderId="51" xfId="0" applyFont="1" applyFill="1" applyBorder="1" applyAlignment="1" applyProtection="1">
      <alignment horizontal="center" vertical="center" wrapText="1"/>
    </xf>
    <xf numFmtId="0" fontId="8" fillId="16" borderId="52" xfId="0" applyFont="1" applyFill="1" applyBorder="1" applyAlignment="1" applyProtection="1">
      <alignment horizontal="center" vertical="center" wrapText="1"/>
    </xf>
    <xf numFmtId="0" fontId="17" fillId="16" borderId="38" xfId="0" applyFont="1" applyFill="1" applyBorder="1" applyAlignment="1" applyProtection="1">
      <alignment horizontal="center" vertical="center" wrapText="1"/>
    </xf>
    <xf numFmtId="0" fontId="17" fillId="16" borderId="0" xfId="0" applyFont="1" applyFill="1" applyBorder="1" applyAlignment="1" applyProtection="1">
      <alignment horizontal="center" vertical="center" wrapText="1"/>
    </xf>
    <xf numFmtId="0" fontId="8" fillId="16" borderId="86" xfId="0" applyFont="1" applyFill="1" applyBorder="1" applyAlignment="1" applyProtection="1">
      <alignment horizontal="center" vertical="center" wrapText="1"/>
    </xf>
    <xf numFmtId="0" fontId="8" fillId="16" borderId="87" xfId="0" applyFont="1" applyFill="1" applyBorder="1" applyAlignment="1" applyProtection="1">
      <alignment horizontal="center" vertical="center" wrapText="1"/>
    </xf>
    <xf numFmtId="0" fontId="8" fillId="16" borderId="60" xfId="0" applyFont="1" applyFill="1" applyBorder="1" applyAlignment="1" applyProtection="1">
      <alignment horizontal="center" vertical="center" wrapText="1"/>
    </xf>
    <xf numFmtId="0" fontId="8" fillId="16" borderId="9" xfId="0" applyFont="1" applyFill="1" applyBorder="1" applyAlignment="1" applyProtection="1">
      <alignment horizontal="center" vertical="center" wrapText="1"/>
    </xf>
    <xf numFmtId="0" fontId="8" fillId="16" borderId="54" xfId="0" applyFont="1" applyFill="1" applyBorder="1" applyAlignment="1" applyProtection="1">
      <alignment horizontal="center" vertical="center" wrapText="1"/>
    </xf>
    <xf numFmtId="0" fontId="8" fillId="16" borderId="38" xfId="0" applyFont="1" applyFill="1" applyBorder="1" applyAlignment="1" applyProtection="1">
      <alignment horizontal="center" vertical="center" wrapText="1"/>
    </xf>
    <xf numFmtId="0" fontId="8" fillId="16" borderId="37" xfId="0" applyFont="1" applyFill="1" applyBorder="1" applyAlignment="1" applyProtection="1">
      <alignment horizontal="center" vertical="center" wrapText="1"/>
    </xf>
    <xf numFmtId="172" fontId="9" fillId="14" borderId="3" xfId="1" applyNumberFormat="1" applyFont="1" applyFill="1" applyBorder="1" applyAlignment="1" applyProtection="1">
      <alignment horizontal="right" vertical="center"/>
    </xf>
    <xf numFmtId="171" fontId="3" fillId="19" borderId="42" xfId="3" applyNumberFormat="1" applyFill="1" applyBorder="1" applyAlignment="1" applyProtection="1">
      <alignment horizontal="center" vertical="center"/>
    </xf>
    <xf numFmtId="171" fontId="3" fillId="19" borderId="43" xfId="3" applyNumberFormat="1" applyFill="1" applyBorder="1" applyAlignment="1" applyProtection="1">
      <alignment horizontal="center" vertical="center"/>
    </xf>
    <xf numFmtId="171" fontId="3" fillId="19" borderId="56" xfId="3" applyNumberFormat="1" applyFill="1" applyBorder="1" applyAlignment="1" applyProtection="1">
      <alignment horizontal="center" vertical="center"/>
    </xf>
    <xf numFmtId="0" fontId="8" fillId="16" borderId="2" xfId="0" applyFont="1" applyFill="1" applyBorder="1" applyAlignment="1" applyProtection="1">
      <alignment horizontal="center" vertical="center" wrapText="1"/>
    </xf>
    <xf numFmtId="0" fontId="8" fillId="16" borderId="0" xfId="0" applyFont="1" applyFill="1" applyBorder="1" applyAlignment="1" applyProtection="1">
      <alignment horizontal="center" vertical="center" wrapText="1"/>
    </xf>
    <xf numFmtId="9" fontId="9" fillId="16" borderId="38" xfId="2" applyFont="1" applyFill="1" applyBorder="1" applyAlignment="1" applyProtection="1">
      <alignment horizontal="center" vertical="center" wrapText="1"/>
    </xf>
    <xf numFmtId="9" fontId="9" fillId="16" borderId="0" xfId="2" applyFont="1" applyFill="1" applyBorder="1" applyAlignment="1" applyProtection="1">
      <alignment horizontal="center" vertical="center" wrapText="1"/>
    </xf>
    <xf numFmtId="9" fontId="8" fillId="16" borderId="44" xfId="2" applyFont="1" applyFill="1" applyBorder="1" applyAlignment="1" applyProtection="1">
      <alignment horizontal="center" vertical="center"/>
    </xf>
    <xf numFmtId="9" fontId="8" fillId="16" borderId="10" xfId="2" applyFont="1" applyFill="1" applyBorder="1" applyAlignment="1" applyProtection="1">
      <alignment horizontal="center" vertical="center"/>
    </xf>
    <xf numFmtId="0" fontId="7" fillId="17" borderId="4" xfId="0" applyFont="1" applyFill="1" applyBorder="1" applyAlignment="1" applyProtection="1">
      <alignment horizontal="center" vertical="center"/>
    </xf>
    <xf numFmtId="0" fontId="7" fillId="17" borderId="6" xfId="0" applyFont="1" applyFill="1" applyBorder="1" applyAlignment="1" applyProtection="1">
      <alignment horizontal="center" vertical="center"/>
    </xf>
    <xf numFmtId="0" fontId="7" fillId="17" borderId="29" xfId="0" applyFont="1" applyFill="1" applyBorder="1" applyAlignment="1" applyProtection="1">
      <alignment horizontal="center" vertical="center"/>
    </xf>
    <xf numFmtId="0" fontId="7" fillId="17" borderId="34" xfId="0" applyFont="1" applyFill="1" applyBorder="1" applyAlignment="1" applyProtection="1">
      <alignment horizontal="center" vertical="center"/>
    </xf>
    <xf numFmtId="0" fontId="7" fillId="17" borderId="35" xfId="0" applyFont="1" applyFill="1" applyBorder="1" applyAlignment="1" applyProtection="1">
      <alignment horizontal="center" vertical="center"/>
    </xf>
    <xf numFmtId="0" fontId="7" fillId="17" borderId="36" xfId="0" applyFont="1" applyFill="1" applyBorder="1" applyAlignment="1" applyProtection="1">
      <alignment horizontal="center" vertical="center"/>
    </xf>
    <xf numFmtId="0" fontId="33" fillId="16" borderId="7" xfId="0" applyFont="1" applyFill="1" applyBorder="1" applyAlignment="1">
      <alignment horizontal="center"/>
    </xf>
    <xf numFmtId="0" fontId="33" fillId="16" borderId="10" xfId="0" applyFont="1" applyFill="1" applyBorder="1" applyAlignment="1">
      <alignment horizontal="center"/>
    </xf>
    <xf numFmtId="0" fontId="33" fillId="16" borderId="8" xfId="0" applyFont="1" applyFill="1" applyBorder="1" applyAlignment="1">
      <alignment horizontal="center"/>
    </xf>
    <xf numFmtId="0" fontId="0" fillId="18" borderId="59" xfId="0" applyFill="1" applyBorder="1" applyAlignment="1">
      <alignment horizontal="right"/>
    </xf>
    <xf numFmtId="0" fontId="0" fillId="18" borderId="89" xfId="0" applyFill="1" applyBorder="1" applyAlignment="1">
      <alignment horizontal="right"/>
    </xf>
    <xf numFmtId="0" fontId="0" fillId="18" borderId="24" xfId="0" applyFill="1" applyBorder="1" applyAlignment="1">
      <alignment horizontal="right"/>
    </xf>
    <xf numFmtId="0" fontId="0" fillId="18" borderId="12" xfId="0" applyFill="1" applyBorder="1" applyAlignment="1">
      <alignment horizontal="right"/>
    </xf>
    <xf numFmtId="9" fontId="12" fillId="16" borderId="25" xfId="2" applyFont="1" applyFill="1" applyBorder="1" applyAlignment="1" applyProtection="1">
      <alignment horizontal="center" vertical="center" wrapText="1"/>
    </xf>
    <xf numFmtId="9" fontId="12" fillId="16" borderId="26" xfId="2" applyFont="1" applyFill="1" applyBorder="1" applyAlignment="1" applyProtection="1">
      <alignment horizontal="center" vertical="center" wrapText="1"/>
    </xf>
    <xf numFmtId="0" fontId="12" fillId="14" borderId="11" xfId="0" applyFont="1" applyFill="1" applyBorder="1" applyAlignment="1" applyProtection="1">
      <alignment horizontal="center" vertical="center" wrapText="1"/>
    </xf>
    <xf numFmtId="0" fontId="12" fillId="14" borderId="24" xfId="0" applyFont="1" applyFill="1" applyBorder="1" applyAlignment="1" applyProtection="1">
      <alignment horizontal="center" vertical="center" wrapText="1"/>
    </xf>
    <xf numFmtId="172" fontId="12" fillId="14" borderId="11" xfId="1" applyNumberFormat="1" applyFont="1" applyFill="1" applyBorder="1" applyAlignment="1" applyProtection="1">
      <alignment horizontal="right" vertical="center" wrapText="1"/>
    </xf>
    <xf numFmtId="172" fontId="12" fillId="14" borderId="24" xfId="1" applyNumberFormat="1" applyFont="1" applyFill="1" applyBorder="1" applyAlignment="1" applyProtection="1">
      <alignment horizontal="right" vertical="center" wrapText="1"/>
    </xf>
    <xf numFmtId="0" fontId="12" fillId="16" borderId="83" xfId="0" applyFont="1" applyFill="1" applyBorder="1" applyAlignment="1" applyProtection="1">
      <alignment horizontal="center" vertical="center" wrapText="1"/>
    </xf>
    <xf numFmtId="0" fontId="12" fillId="16" borderId="88" xfId="0" applyFont="1" applyFill="1" applyBorder="1" applyAlignment="1" applyProtection="1">
      <alignment horizontal="center" vertical="center" wrapText="1"/>
    </xf>
    <xf numFmtId="172" fontId="0" fillId="18" borderId="88" xfId="0" applyNumberFormat="1" applyFill="1" applyBorder="1" applyAlignment="1">
      <alignment horizontal="center"/>
    </xf>
    <xf numFmtId="0" fontId="4" fillId="14" borderId="45" xfId="0" applyFont="1" applyFill="1" applyBorder="1" applyAlignment="1">
      <alignment horizontal="center"/>
    </xf>
    <xf numFmtId="0" fontId="4" fillId="14" borderId="89" xfId="0" applyFont="1" applyFill="1" applyBorder="1" applyAlignment="1">
      <alignment horizontal="center"/>
    </xf>
    <xf numFmtId="172" fontId="0" fillId="18" borderId="24" xfId="0" applyNumberFormat="1" applyFill="1" applyBorder="1" applyAlignment="1">
      <alignment horizontal="center"/>
    </xf>
    <xf numFmtId="172" fontId="0" fillId="18" borderId="88" xfId="1" applyNumberFormat="1" applyFont="1" applyFill="1" applyBorder="1" applyAlignment="1">
      <alignment horizontal="center"/>
    </xf>
    <xf numFmtId="172" fontId="0" fillId="18" borderId="76" xfId="1" applyNumberFormat="1" applyFont="1" applyFill="1" applyBorder="1" applyAlignment="1">
      <alignment horizontal="center"/>
    </xf>
    <xf numFmtId="0" fontId="0" fillId="14" borderId="63" xfId="0" applyFill="1" applyBorder="1" applyAlignment="1">
      <alignment horizontal="left" vertical="center" wrapText="1"/>
    </xf>
    <xf numFmtId="0" fontId="0" fillId="14" borderId="65" xfId="0" applyFill="1" applyBorder="1" applyAlignment="1">
      <alignment horizontal="left" vertical="center" wrapText="1"/>
    </xf>
    <xf numFmtId="0" fontId="0" fillId="14" borderId="75" xfId="0" applyFill="1" applyBorder="1" applyAlignment="1">
      <alignment horizontal="left" vertical="center" wrapText="1"/>
    </xf>
    <xf numFmtId="0" fontId="0" fillId="18" borderId="89" xfId="0" applyFill="1" applyBorder="1" applyAlignment="1">
      <alignment horizontal="left"/>
    </xf>
    <xf numFmtId="0" fontId="0" fillId="18" borderId="82" xfId="0" applyFill="1" applyBorder="1" applyAlignment="1">
      <alignment horizontal="left"/>
    </xf>
    <xf numFmtId="0" fontId="0" fillId="18" borderId="12" xfId="0" applyFill="1" applyBorder="1" applyAlignment="1">
      <alignment horizontal="left"/>
    </xf>
    <xf numFmtId="0" fontId="0" fillId="18" borderId="1" xfId="0" applyFill="1" applyBorder="1" applyAlignment="1">
      <alignment horizontal="left"/>
    </xf>
    <xf numFmtId="0" fontId="0" fillId="18" borderId="76" xfId="0" applyFill="1" applyBorder="1" applyAlignment="1">
      <alignment horizontal="left"/>
    </xf>
    <xf numFmtId="0" fontId="0" fillId="18" borderId="57" xfId="0" applyFill="1" applyBorder="1" applyAlignment="1">
      <alignment horizontal="left"/>
    </xf>
    <xf numFmtId="0" fontId="36" fillId="0" borderId="0" xfId="0" applyFont="1" applyAlignment="1">
      <alignment horizontal="left" wrapText="1"/>
    </xf>
    <xf numFmtId="0" fontId="36" fillId="0" borderId="0" xfId="0" applyFont="1" applyAlignment="1">
      <alignment horizontal="left"/>
    </xf>
    <xf numFmtId="0" fontId="36" fillId="0" borderId="0" xfId="0" applyFont="1" applyAlignment="1">
      <alignment horizontal="left" vertical="top" wrapText="1"/>
    </xf>
    <xf numFmtId="0" fontId="36" fillId="0" borderId="0" xfId="0" applyFont="1" applyAlignment="1">
      <alignment horizontal="left" vertical="center" wrapText="1"/>
    </xf>
    <xf numFmtId="0" fontId="35" fillId="0" borderId="0" xfId="0" applyFont="1" applyAlignment="1">
      <alignment horizontal="left" wrapText="1"/>
    </xf>
    <xf numFmtId="0" fontId="0" fillId="12" borderId="75" xfId="0" applyFill="1" applyBorder="1" applyAlignment="1">
      <alignment horizontal="left"/>
    </xf>
    <xf numFmtId="0" fontId="0" fillId="12" borderId="90" xfId="0" applyFill="1" applyBorder="1" applyAlignment="1">
      <alignment horizontal="left"/>
    </xf>
    <xf numFmtId="171" fontId="3" fillId="0" borderId="42" xfId="3" applyNumberFormat="1" applyFill="1" applyBorder="1" applyAlignment="1" applyProtection="1">
      <alignment horizontal="center" vertical="center"/>
    </xf>
    <xf numFmtId="171" fontId="3" fillId="0" borderId="43" xfId="3" applyNumberFormat="1" applyFill="1" applyBorder="1" applyAlignment="1" applyProtection="1">
      <alignment horizontal="center" vertical="center"/>
    </xf>
    <xf numFmtId="171" fontId="3" fillId="0" borderId="56" xfId="3" applyNumberFormat="1" applyFill="1" applyBorder="1" applyAlignment="1" applyProtection="1">
      <alignment horizontal="center" vertical="center"/>
    </xf>
    <xf numFmtId="0" fontId="30" fillId="16" borderId="7" xfId="0" applyFont="1" applyFill="1" applyBorder="1" applyAlignment="1">
      <alignment horizontal="center"/>
    </xf>
    <xf numFmtId="0" fontId="30" fillId="16" borderId="10" xfId="0" applyFont="1" applyFill="1" applyBorder="1" applyAlignment="1">
      <alignment horizontal="center"/>
    </xf>
    <xf numFmtId="0" fontId="30" fillId="16" borderId="8" xfId="0" applyFont="1" applyFill="1" applyBorder="1" applyAlignment="1">
      <alignment horizontal="center"/>
    </xf>
    <xf numFmtId="0" fontId="8" fillId="16" borderId="35" xfId="0" applyFont="1" applyFill="1" applyBorder="1" applyAlignment="1" applyProtection="1">
      <alignment horizontal="center" vertical="center" wrapText="1"/>
    </xf>
    <xf numFmtId="0" fontId="16" fillId="17" borderId="54" xfId="0" applyFont="1" applyFill="1" applyBorder="1" applyAlignment="1" applyProtection="1">
      <alignment horizontal="left" vertical="top" wrapText="1"/>
    </xf>
    <xf numFmtId="172" fontId="12" fillId="14" borderId="11" xfId="0" applyNumberFormat="1" applyFont="1" applyFill="1" applyBorder="1" applyAlignment="1" applyProtection="1">
      <alignment horizontal="center" vertical="center" wrapText="1"/>
    </xf>
    <xf numFmtId="172" fontId="12" fillId="14" borderId="28" xfId="0" applyNumberFormat="1" applyFont="1" applyFill="1" applyBorder="1" applyAlignment="1" applyProtection="1">
      <alignment horizontal="center" vertical="center" wrapText="1"/>
    </xf>
    <xf numFmtId="172" fontId="12" fillId="14" borderId="11" xfId="0" applyNumberFormat="1" applyFont="1" applyFill="1" applyBorder="1" applyAlignment="1" applyProtection="1">
      <alignment horizontal="right" vertical="center" wrapText="1"/>
    </xf>
    <xf numFmtId="172" fontId="12" fillId="14" borderId="28" xfId="0" applyNumberFormat="1" applyFont="1" applyFill="1" applyBorder="1" applyAlignment="1" applyProtection="1">
      <alignment horizontal="right" vertical="center" wrapText="1"/>
    </xf>
    <xf numFmtId="172" fontId="12" fillId="16" borderId="83" xfId="0" applyNumberFormat="1" applyFont="1" applyFill="1" applyBorder="1" applyAlignment="1" applyProtection="1">
      <alignment horizontal="center" vertical="center" wrapText="1"/>
    </xf>
    <xf numFmtId="172" fontId="12" fillId="16" borderId="90" xfId="0" applyNumberFormat="1" applyFont="1" applyFill="1" applyBorder="1" applyAlignment="1" applyProtection="1">
      <alignment horizontal="center" vertical="center" wrapText="1"/>
    </xf>
    <xf numFmtId="0" fontId="8" fillId="16" borderId="92" xfId="0" applyFont="1" applyFill="1" applyBorder="1" applyAlignment="1" applyProtection="1">
      <alignment horizontal="center" vertical="center" wrapText="1"/>
    </xf>
    <xf numFmtId="9" fontId="12" fillId="16" borderId="49" xfId="2" applyFont="1" applyFill="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left"/>
    </xf>
    <xf numFmtId="0" fontId="0" fillId="0" borderId="0" xfId="0" applyAlignment="1">
      <alignment horizontal="left" wrapText="1"/>
    </xf>
    <xf numFmtId="0" fontId="2" fillId="0" borderId="0" xfId="0" applyFont="1" applyAlignment="1">
      <alignment horizontal="left" vertical="center" wrapText="1"/>
    </xf>
    <xf numFmtId="170" fontId="9" fillId="18" borderId="11" xfId="1" applyNumberFormat="1" applyFont="1" applyFill="1" applyBorder="1" applyAlignment="1" applyProtection="1">
      <alignment horizontal="right" vertical="center"/>
      <protection locked="0"/>
    </xf>
    <xf numFmtId="170" fontId="9" fillId="18" borderId="12" xfId="1" applyNumberFormat="1" applyFont="1" applyFill="1" applyBorder="1" applyAlignment="1" applyProtection="1">
      <alignment horizontal="right" vertical="center"/>
      <protection locked="0"/>
    </xf>
    <xf numFmtId="170" fontId="9" fillId="18" borderId="16" xfId="1" applyNumberFormat="1" applyFont="1" applyFill="1" applyBorder="1" applyAlignment="1" applyProtection="1">
      <alignment horizontal="right" vertical="center"/>
      <protection locked="0"/>
    </xf>
    <xf numFmtId="170" fontId="9" fillId="18" borderId="17" xfId="1" applyNumberFormat="1" applyFont="1" applyFill="1" applyBorder="1" applyAlignment="1" applyProtection="1">
      <alignment horizontal="right" vertical="center"/>
      <protection locked="0"/>
    </xf>
    <xf numFmtId="0" fontId="30" fillId="16" borderId="57" xfId="0" applyFont="1" applyFill="1" applyBorder="1" applyAlignment="1">
      <alignment horizontal="center"/>
    </xf>
    <xf numFmtId="0" fontId="0" fillId="14" borderId="63" xfId="0" applyFill="1" applyBorder="1" applyAlignment="1">
      <alignment horizontal="left"/>
    </xf>
    <xf numFmtId="0" fontId="0" fillId="14" borderId="64" xfId="0" applyFill="1" applyBorder="1" applyAlignment="1">
      <alignment horizontal="left"/>
    </xf>
    <xf numFmtId="0" fontId="0" fillId="18" borderId="3" xfId="0" applyFill="1" applyBorder="1" applyAlignment="1">
      <alignment horizontal="right"/>
    </xf>
    <xf numFmtId="172" fontId="0" fillId="14" borderId="11" xfId="0" applyNumberFormat="1" applyFill="1" applyBorder="1" applyAlignment="1">
      <alignment horizontal="center"/>
    </xf>
    <xf numFmtId="172" fontId="0" fillId="14" borderId="28" xfId="0" applyNumberFormat="1" applyFill="1" applyBorder="1" applyAlignment="1">
      <alignment horizontal="center"/>
    </xf>
    <xf numFmtId="172" fontId="0" fillId="14" borderId="83" xfId="0" applyNumberFormat="1" applyFill="1" applyBorder="1" applyAlignment="1">
      <alignment horizontal="center"/>
    </xf>
    <xf numFmtId="172" fontId="0" fillId="14" borderId="90" xfId="0" applyNumberFormat="1" applyFill="1" applyBorder="1" applyAlignment="1">
      <alignment horizontal="center"/>
    </xf>
    <xf numFmtId="0" fontId="30" fillId="16" borderId="35" xfId="0" applyFont="1" applyFill="1" applyBorder="1" applyAlignment="1">
      <alignment horizontal="center"/>
    </xf>
    <xf numFmtId="0" fontId="0" fillId="14" borderId="65" xfId="0" applyFill="1" applyBorder="1" applyAlignment="1">
      <alignment horizontal="left"/>
    </xf>
    <xf numFmtId="0" fontId="0" fillId="14" borderId="12" xfId="0" applyFill="1" applyBorder="1" applyAlignment="1">
      <alignment horizontal="left"/>
    </xf>
    <xf numFmtId="0" fontId="0" fillId="14" borderId="57" xfId="0" applyFill="1" applyBorder="1" applyAlignment="1">
      <alignment horizontal="left"/>
    </xf>
    <xf numFmtId="0" fontId="0" fillId="14" borderId="72" xfId="0" applyFill="1" applyBorder="1" applyAlignment="1">
      <alignment horizontal="left" vertical="center" wrapText="1"/>
    </xf>
    <xf numFmtId="0" fontId="0" fillId="14" borderId="30" xfId="0" applyFill="1" applyBorder="1" applyAlignment="1">
      <alignment horizontal="left" vertical="center" wrapText="1"/>
    </xf>
    <xf numFmtId="0" fontId="0" fillId="14" borderId="32" xfId="0" applyFill="1" applyBorder="1" applyAlignment="1">
      <alignment horizontal="left" vertical="center" wrapText="1"/>
    </xf>
    <xf numFmtId="0" fontId="0" fillId="18" borderId="1" xfId="0" applyFill="1" applyBorder="1" applyAlignment="1">
      <alignment horizontal="right"/>
    </xf>
    <xf numFmtId="172" fontId="0" fillId="18" borderId="57" xfId="1" applyNumberFormat="1" applyFont="1" applyFill="1" applyBorder="1" applyAlignment="1">
      <alignment horizontal="center"/>
    </xf>
    <xf numFmtId="0" fontId="0" fillId="18" borderId="3" xfId="0" applyFill="1" applyBorder="1" applyAlignment="1">
      <alignment horizontal="left"/>
    </xf>
    <xf numFmtId="0" fontId="4" fillId="16" borderId="45" xfId="0" applyFont="1" applyFill="1" applyBorder="1" applyAlignment="1">
      <alignment horizontal="center"/>
    </xf>
    <xf numFmtId="0" fontId="4" fillId="16" borderId="46" xfId="0" applyFont="1" applyFill="1" applyBorder="1" applyAlignment="1">
      <alignment horizontal="center"/>
    </xf>
  </cellXfs>
  <cellStyles count="5">
    <cellStyle name="Currency 2" xfId="4"/>
    <cellStyle name="Insatisfaisant" xfId="3" builtinId="27"/>
    <cellStyle name="Monétaire" xfId="1" builtinId="4"/>
    <cellStyle name="Normal" xfId="0" builtinId="0"/>
    <cellStyle name="Pourcentage" xfId="2" builtinId="5"/>
  </cellStyles>
  <dxfs count="108">
    <dxf>
      <font>
        <color rgb="FF9C0006"/>
      </font>
      <fill>
        <patternFill>
          <bgColor rgb="FFFFC7CE"/>
        </patternFill>
      </fill>
    </dxf>
    <dxf>
      <font>
        <color rgb="FF006100"/>
      </font>
      <fill>
        <patternFill>
          <bgColor rgb="FFC6EFCE"/>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theme="0" tint="-0.499984740745262"/>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ill>
        <patternFill>
          <bgColor rgb="FFF09456"/>
        </patternFill>
      </fill>
      <border>
        <left style="thin">
          <color auto="1"/>
        </left>
        <right style="thin">
          <color auto="1"/>
        </right>
        <top style="thin">
          <color auto="1"/>
        </top>
        <bottom style="thin">
          <color auto="1"/>
        </bottom>
      </border>
    </dxf>
    <dxf>
      <font>
        <color rgb="FF9C57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theme="0" tint="-0.499984740745262"/>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ill>
        <patternFill>
          <bgColor rgb="FFF09456"/>
        </patternFill>
      </fill>
      <border>
        <left style="thin">
          <color auto="1"/>
        </left>
        <right style="thin">
          <color auto="1"/>
        </right>
        <top style="thin">
          <color auto="1"/>
        </top>
        <bottom style="thin">
          <color auto="1"/>
        </bottom>
      </border>
    </dxf>
    <dxf>
      <font>
        <color rgb="FF9C57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theme="0" tint="-0.499984740745262"/>
        </patternFill>
      </fill>
    </dxf>
    <dxf>
      <font>
        <color rgb="FF006100"/>
      </font>
      <fill>
        <patternFill>
          <bgColor rgb="FFC6EFCE"/>
        </patternFill>
      </fill>
    </dxf>
    <dxf>
      <fill>
        <patternFill>
          <bgColor rgb="FFF09456"/>
        </patternFill>
      </fill>
      <border>
        <left style="thin">
          <color auto="1"/>
        </left>
        <right style="thin">
          <color auto="1"/>
        </right>
        <top style="thin">
          <color auto="1"/>
        </top>
        <bottom style="thin">
          <color auto="1"/>
        </bottom>
      </border>
    </dxf>
    <dxf>
      <font>
        <color rgb="FF9C57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gradientFill degree="90">
          <stop position="0">
            <color rgb="FFFBE4D6"/>
          </stop>
          <stop position="1">
            <color rgb="FFFBE4D6"/>
          </stop>
        </gradientFill>
      </fill>
    </dxf>
    <dxf>
      <fill>
        <patternFill>
          <bgColor rgb="FFF09456"/>
        </patternFill>
      </fill>
      <border>
        <left style="thin">
          <color auto="1"/>
        </left>
        <right style="thin">
          <color auto="1"/>
        </right>
        <top style="thin">
          <color auto="1"/>
        </top>
        <bottom style="thin">
          <color auto="1"/>
        </bottom>
      </border>
    </dxf>
    <dxf>
      <fill>
        <patternFill>
          <bgColor rgb="FFF09456"/>
        </patternFill>
      </fill>
      <border>
        <left style="thin">
          <color auto="1"/>
        </left>
        <right style="thin">
          <color auto="1"/>
        </right>
        <top style="thin">
          <color auto="1"/>
        </top>
        <bottom style="thin">
          <color auto="1"/>
        </bottom>
      </border>
    </dxf>
    <dxf>
      <fill>
        <patternFill>
          <bgColor rgb="FFFFFF00"/>
        </patternFill>
      </fill>
    </dxf>
    <dxf>
      <fill>
        <gradientFill degree="90">
          <stop position="0">
            <color rgb="FFFBE4D6"/>
          </stop>
          <stop position="1">
            <color rgb="FFFBE4D6"/>
          </stop>
        </gradient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bgColor rgb="FFFFFF00"/>
        </patternFill>
      </fill>
    </dxf>
    <dxf>
      <fill>
        <gradientFill degree="90">
          <stop position="0">
            <color rgb="FFFBE4D6"/>
          </stop>
          <stop position="1">
            <color rgb="FFFBE4D6"/>
          </stop>
        </gradientFill>
      </fill>
    </dxf>
    <dxf>
      <fill>
        <patternFill>
          <bgColor rgb="FFF09456"/>
        </patternFill>
      </fill>
      <border>
        <left style="thin">
          <color auto="1"/>
        </left>
        <right style="thin">
          <color auto="1"/>
        </right>
        <top style="thin">
          <color auto="1"/>
        </top>
        <bottom style="thin">
          <color auto="1"/>
        </bottom>
      </border>
    </dxf>
    <dxf>
      <fill>
        <patternFill>
          <bgColor rgb="FFF09456"/>
        </patternFill>
      </fill>
      <border>
        <left style="thin">
          <color auto="1"/>
        </left>
        <right style="thin">
          <color auto="1"/>
        </right>
        <top style="thin">
          <color auto="1"/>
        </top>
        <bottom style="thin">
          <color auto="1"/>
        </bottom>
      </border>
    </dxf>
    <dxf>
      <fill>
        <patternFill>
          <bgColor rgb="FFFFFF00"/>
        </patternFill>
      </fill>
    </dxf>
    <dxf>
      <fill>
        <gradientFill degree="90">
          <stop position="0">
            <color rgb="FFFBE4D6"/>
          </stop>
          <stop position="1">
            <color rgb="FFFBE4D6"/>
          </stop>
        </gradient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9" tint="-0.24994659260841701"/>
      </font>
      <fill>
        <patternFill>
          <bgColor theme="9" tint="0.59996337778862885"/>
        </patternFill>
      </fill>
    </dxf>
    <dxf>
      <fill>
        <patternFill>
          <bgColor rgb="FFFFFF00"/>
        </patternFill>
      </fill>
    </dxf>
    <dxf>
      <fill>
        <patternFill>
          <bgColor rgb="FFFFFF00"/>
        </patternFill>
      </fill>
    </dxf>
    <dxf>
      <fill>
        <gradientFill degree="90">
          <stop position="0">
            <color rgb="FFFBE4D6"/>
          </stop>
          <stop position="1">
            <color rgb="FFFBE4D6"/>
          </stop>
        </gradientFill>
      </fill>
    </dxf>
    <dxf>
      <fill>
        <patternFill>
          <bgColor rgb="FFF09456"/>
        </patternFill>
      </fill>
      <border>
        <left style="thin">
          <color auto="1"/>
        </left>
        <right style="thin">
          <color auto="1"/>
        </right>
        <top style="thin">
          <color auto="1"/>
        </top>
        <bottom style="thin">
          <color auto="1"/>
        </bottom>
      </border>
    </dxf>
    <dxf>
      <fill>
        <patternFill>
          <bgColor rgb="FFF09456"/>
        </patternFill>
      </fill>
      <border>
        <left style="thin">
          <color auto="1"/>
        </left>
        <right style="thin">
          <color auto="1"/>
        </right>
        <top style="thin">
          <color auto="1"/>
        </top>
        <bottom style="thin">
          <color auto="1"/>
        </bottom>
      </border>
    </dxf>
    <dxf>
      <fill>
        <patternFill>
          <bgColor rgb="FFFFFF00"/>
        </patternFill>
      </fill>
    </dxf>
    <dxf>
      <fill>
        <gradientFill degree="90">
          <stop position="0">
            <color rgb="FFFBE4D6"/>
          </stop>
          <stop position="1">
            <color rgb="FFFBE4D6"/>
          </stop>
        </gradient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bgColor rgb="FFFFFF00"/>
        </patternFill>
      </fill>
    </dxf>
    <dxf>
      <fill>
        <gradientFill degree="90">
          <stop position="0">
            <color rgb="FFFBE4D6"/>
          </stop>
          <stop position="1">
            <color rgb="FFFBE4D6"/>
          </stop>
        </gradientFill>
      </fill>
    </dxf>
    <dxf>
      <fill>
        <patternFill>
          <bgColor rgb="FFF09456"/>
        </patternFill>
      </fill>
      <border>
        <left style="thin">
          <color auto="1"/>
        </left>
        <right style="thin">
          <color auto="1"/>
        </right>
        <top style="thin">
          <color auto="1"/>
        </top>
        <bottom style="thin">
          <color auto="1"/>
        </bottom>
      </border>
    </dxf>
    <dxf>
      <fill>
        <patternFill>
          <bgColor rgb="FFF09456"/>
        </patternFill>
      </fill>
      <border>
        <left style="thin">
          <color auto="1"/>
        </left>
        <right style="thin">
          <color auto="1"/>
        </right>
        <top style="thin">
          <color auto="1"/>
        </top>
        <bottom style="thin">
          <color auto="1"/>
        </bottom>
      </border>
    </dxf>
    <dxf>
      <fill>
        <patternFill>
          <bgColor rgb="FFFFFF00"/>
        </patternFill>
      </fill>
    </dxf>
    <dxf>
      <fill>
        <gradientFill degree="90">
          <stop position="0">
            <color rgb="FFFBE4D6"/>
          </stop>
          <stop position="1">
            <color rgb="FFFBE4D6"/>
          </stop>
        </gradient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7D7D"/>
      <color rgb="FFEDEA58"/>
      <color rgb="FFFF4343"/>
      <color rgb="FFF195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1.png"/><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image" Target="../media/image8.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jpeg"/><Relationship Id="rId1" Type="http://schemas.openxmlformats.org/officeDocument/2006/relationships/image" Target="../media/image9.png"/><Relationship Id="rId5" Type="http://schemas.openxmlformats.org/officeDocument/2006/relationships/image" Target="../media/image13.png"/><Relationship Id="rId4"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xdr:from>
      <xdr:col>2</xdr:col>
      <xdr:colOff>1577340</xdr:colOff>
      <xdr:row>21</xdr:row>
      <xdr:rowOff>175260</xdr:rowOff>
    </xdr:from>
    <xdr:to>
      <xdr:col>3</xdr:col>
      <xdr:colOff>426720</xdr:colOff>
      <xdr:row>34</xdr:row>
      <xdr:rowOff>30480</xdr:rowOff>
    </xdr:to>
    <xdr:sp macro="" textlink="">
      <xdr:nvSpPr>
        <xdr:cNvPr id="2" name="Arrow: Striped Right 1">
          <a:extLst>
            <a:ext uri="{FF2B5EF4-FFF2-40B4-BE49-F238E27FC236}">
              <a16:creationId xmlns:a16="http://schemas.microsoft.com/office/drawing/2014/main" id="{40F9E88A-993C-4D37-89CF-A0DE2EE5FA63}"/>
            </a:ext>
          </a:extLst>
        </xdr:cNvPr>
        <xdr:cNvSpPr/>
      </xdr:nvSpPr>
      <xdr:spPr>
        <a:xfrm rot="5400000">
          <a:off x="3909060" y="4884420"/>
          <a:ext cx="2232660" cy="678180"/>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419100</xdr:colOff>
      <xdr:row>23</xdr:row>
      <xdr:rowOff>99060</xdr:rowOff>
    </xdr:from>
    <xdr:to>
      <xdr:col>4</xdr:col>
      <xdr:colOff>487680</xdr:colOff>
      <xdr:row>35</xdr:row>
      <xdr:rowOff>137160</xdr:rowOff>
    </xdr:to>
    <xdr:sp macro="" textlink="">
      <xdr:nvSpPr>
        <xdr:cNvPr id="2" name="Arrow: Striped Right 1">
          <a:extLst>
            <a:ext uri="{FF2B5EF4-FFF2-40B4-BE49-F238E27FC236}">
              <a16:creationId xmlns:a16="http://schemas.microsoft.com/office/drawing/2014/main" id="{5A59C293-BFEF-4C52-977D-677AC7785F07}"/>
            </a:ext>
          </a:extLst>
        </xdr:cNvPr>
        <xdr:cNvSpPr/>
      </xdr:nvSpPr>
      <xdr:spPr>
        <a:xfrm rot="5400000">
          <a:off x="3413760" y="4808220"/>
          <a:ext cx="2232660" cy="678180"/>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167640</xdr:colOff>
      <xdr:row>21</xdr:row>
      <xdr:rowOff>137160</xdr:rowOff>
    </xdr:from>
    <xdr:to>
      <xdr:col>4</xdr:col>
      <xdr:colOff>236220</xdr:colOff>
      <xdr:row>33</xdr:row>
      <xdr:rowOff>175260</xdr:rowOff>
    </xdr:to>
    <xdr:sp macro="" textlink="">
      <xdr:nvSpPr>
        <xdr:cNvPr id="2" name="Arrow: Striped Right 1">
          <a:extLst>
            <a:ext uri="{FF2B5EF4-FFF2-40B4-BE49-F238E27FC236}">
              <a16:creationId xmlns:a16="http://schemas.microsoft.com/office/drawing/2014/main" id="{9030055C-4485-48B2-BDEC-BB82A33EBC6E}"/>
            </a:ext>
          </a:extLst>
        </xdr:cNvPr>
        <xdr:cNvSpPr/>
      </xdr:nvSpPr>
      <xdr:spPr>
        <a:xfrm rot="5400000">
          <a:off x="3139440" y="4846320"/>
          <a:ext cx="2232660" cy="678180"/>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129540</xdr:colOff>
      <xdr:row>23</xdr:row>
      <xdr:rowOff>38100</xdr:rowOff>
    </xdr:from>
    <xdr:to>
      <xdr:col>4</xdr:col>
      <xdr:colOff>198120</xdr:colOff>
      <xdr:row>35</xdr:row>
      <xdr:rowOff>76200</xdr:rowOff>
    </xdr:to>
    <xdr:sp macro="" textlink="">
      <xdr:nvSpPr>
        <xdr:cNvPr id="5" name="Arrow: Striped Right 4">
          <a:extLst>
            <a:ext uri="{FF2B5EF4-FFF2-40B4-BE49-F238E27FC236}">
              <a16:creationId xmlns:a16="http://schemas.microsoft.com/office/drawing/2014/main" id="{F910F787-4E1A-467E-8998-075B6A79008E}"/>
            </a:ext>
          </a:extLst>
        </xdr:cNvPr>
        <xdr:cNvSpPr/>
      </xdr:nvSpPr>
      <xdr:spPr>
        <a:xfrm rot="5400000">
          <a:off x="2674620" y="4930140"/>
          <a:ext cx="2232660" cy="678180"/>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860163</xdr:colOff>
      <xdr:row>1</xdr:row>
      <xdr:rowOff>14833</xdr:rowOff>
    </xdr:from>
    <xdr:to>
      <xdr:col>7</xdr:col>
      <xdr:colOff>1310901</xdr:colOff>
      <xdr:row>6</xdr:row>
      <xdr:rowOff>60521</xdr:rowOff>
    </xdr:to>
    <xdr:pic>
      <xdr:nvPicPr>
        <xdr:cNvPr id="2" name="Picture 1" descr="Image result for TransmedTech">
          <a:extLst>
            <a:ext uri="{FF2B5EF4-FFF2-40B4-BE49-F238E27FC236}">
              <a16:creationId xmlns:a16="http://schemas.microsoft.com/office/drawing/2014/main" id="{2367D7BE-E716-4C97-9A6C-87066E3ABE92}"/>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99" b="5216"/>
        <a:stretch/>
      </xdr:blipFill>
      <xdr:spPr bwMode="auto">
        <a:xfrm>
          <a:off x="9539343" y="197713"/>
          <a:ext cx="1754393" cy="962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38621</xdr:colOff>
      <xdr:row>1</xdr:row>
      <xdr:rowOff>68580</xdr:rowOff>
    </xdr:from>
    <xdr:to>
      <xdr:col>4</xdr:col>
      <xdr:colOff>434340</xdr:colOff>
      <xdr:row>5</xdr:row>
      <xdr:rowOff>15790</xdr:rowOff>
    </xdr:to>
    <xdr:pic>
      <xdr:nvPicPr>
        <xdr:cNvPr id="3" name="Picture 2" descr="Image result for MEDTEQ">
          <a:extLst>
            <a:ext uri="{FF2B5EF4-FFF2-40B4-BE49-F238E27FC236}">
              <a16:creationId xmlns:a16="http://schemas.microsoft.com/office/drawing/2014/main" id="{EFEAF6BB-AE0E-4BAB-A0FB-99111745B8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05721" y="251460"/>
          <a:ext cx="3237979" cy="681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347831</xdr:colOff>
      <xdr:row>1</xdr:row>
      <xdr:rowOff>80888</xdr:rowOff>
    </xdr:from>
    <xdr:to>
      <xdr:col>9</xdr:col>
      <xdr:colOff>441661</xdr:colOff>
      <xdr:row>5</xdr:row>
      <xdr:rowOff>152399</xdr:rowOff>
    </xdr:to>
    <xdr:pic>
      <xdr:nvPicPr>
        <xdr:cNvPr id="4" name="Picture 3" descr="Image result for sociÃ©tÃ© de recherche sur le cancer logo">
          <a:extLst>
            <a:ext uri="{FF2B5EF4-FFF2-40B4-BE49-F238E27FC236}">
              <a16:creationId xmlns:a16="http://schemas.microsoft.com/office/drawing/2014/main" id="{05F38199-CC30-483F-8032-A6B6CACF7C02}"/>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17481" b="39332"/>
        <a:stretch/>
      </xdr:blipFill>
      <xdr:spPr bwMode="auto">
        <a:xfrm>
          <a:off x="11770211" y="263768"/>
          <a:ext cx="2246106" cy="803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434340</xdr:colOff>
      <xdr:row>1</xdr:row>
      <xdr:rowOff>53341</xdr:rowOff>
    </xdr:from>
    <xdr:to>
      <xdr:col>1</xdr:col>
      <xdr:colOff>2644140</xdr:colOff>
      <xdr:row>5</xdr:row>
      <xdr:rowOff>15324</xdr:rowOff>
    </xdr:to>
    <xdr:pic>
      <xdr:nvPicPr>
        <xdr:cNvPr id="5" name="Picture 4" descr="Image result for fond recherche santÃ© logo">
          <a:extLst>
            <a:ext uri="{FF2B5EF4-FFF2-40B4-BE49-F238E27FC236}">
              <a16:creationId xmlns:a16="http://schemas.microsoft.com/office/drawing/2014/main" id="{5F85C7C4-A3BA-480B-82E3-D2BBCC328B2B}"/>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6260" t="17039" r="5796" b="9737"/>
        <a:stretch/>
      </xdr:blipFill>
      <xdr:spPr bwMode="auto">
        <a:xfrm>
          <a:off x="1043940" y="236221"/>
          <a:ext cx="2202180" cy="698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403859</xdr:colOff>
      <xdr:row>0</xdr:row>
      <xdr:rowOff>129540</xdr:rowOff>
    </xdr:from>
    <xdr:to>
      <xdr:col>6</xdr:col>
      <xdr:colOff>739709</xdr:colOff>
      <xdr:row>5</xdr:row>
      <xdr:rowOff>152400</xdr:rowOff>
    </xdr:to>
    <xdr:pic>
      <xdr:nvPicPr>
        <xdr:cNvPr id="6" name="Picture 5" descr="Image result for oncopole logo">
          <a:extLst>
            <a:ext uri="{FF2B5EF4-FFF2-40B4-BE49-F238E27FC236}">
              <a16:creationId xmlns:a16="http://schemas.microsoft.com/office/drawing/2014/main" id="{8B58AD9C-2D91-488E-A2A3-C17563FC084A}"/>
            </a:ext>
          </a:extLst>
        </xdr:cNvPr>
        <xdr:cNvPicPr>
          <a:picLocks noChangeAspect="1" noChangeArrowheads="1"/>
        </xdr:cNvPicPr>
      </xdr:nvPicPr>
      <xdr:blipFill>
        <a:blip xmlns:r="http://schemas.openxmlformats.org/officeDocument/2006/relationships" r:embed="rId5">
          <a:extLst>
            <a:ext uri="{BEBA8EAE-BF5A-486C-A8C5-ECC9F3942E4B}">
              <a14:imgProps xmlns:a14="http://schemas.microsoft.com/office/drawing/2010/main">
                <a14:imgLayer r:embed="rId6">
                  <a14:imgEffect>
                    <a14:sharpenSoften amount="50000"/>
                  </a14:imgEffect>
                  <a14:imgEffect>
                    <a14:saturation sat="101000"/>
                  </a14:imgEffect>
                </a14:imgLayer>
              </a14:imgProps>
            </a:ext>
            <a:ext uri="{28A0092B-C50C-407E-A947-70E740481C1C}">
              <a14:useLocalDpi xmlns:a14="http://schemas.microsoft.com/office/drawing/2010/main" val="0"/>
            </a:ext>
          </a:extLst>
        </a:blip>
        <a:srcRect/>
        <a:stretch>
          <a:fillRect/>
        </a:stretch>
      </xdr:blipFill>
      <xdr:spPr bwMode="auto">
        <a:xfrm>
          <a:off x="6705599" y="129540"/>
          <a:ext cx="2708845" cy="937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860163</xdr:colOff>
      <xdr:row>1</xdr:row>
      <xdr:rowOff>14833</xdr:rowOff>
    </xdr:from>
    <xdr:to>
      <xdr:col>7</xdr:col>
      <xdr:colOff>1317251</xdr:colOff>
      <xdr:row>6</xdr:row>
      <xdr:rowOff>55441</xdr:rowOff>
    </xdr:to>
    <xdr:pic>
      <xdr:nvPicPr>
        <xdr:cNvPr id="2" name="Picture 1" descr="Image result for TransmedTech">
          <a:extLst>
            <a:ext uri="{FF2B5EF4-FFF2-40B4-BE49-F238E27FC236}">
              <a16:creationId xmlns:a16="http://schemas.microsoft.com/office/drawing/2014/main" id="{293F1DED-BA14-4B7F-8DB4-7ECCA2931D3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99" b="5216"/>
        <a:stretch/>
      </xdr:blipFill>
      <xdr:spPr bwMode="auto">
        <a:xfrm>
          <a:off x="9539343" y="197713"/>
          <a:ext cx="1754393" cy="962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38621</xdr:colOff>
      <xdr:row>1</xdr:row>
      <xdr:rowOff>68580</xdr:rowOff>
    </xdr:from>
    <xdr:to>
      <xdr:col>4</xdr:col>
      <xdr:colOff>434340</xdr:colOff>
      <xdr:row>5</xdr:row>
      <xdr:rowOff>18330</xdr:rowOff>
    </xdr:to>
    <xdr:pic>
      <xdr:nvPicPr>
        <xdr:cNvPr id="3" name="Picture 2" descr="Image result for MEDTEQ">
          <a:extLst>
            <a:ext uri="{FF2B5EF4-FFF2-40B4-BE49-F238E27FC236}">
              <a16:creationId xmlns:a16="http://schemas.microsoft.com/office/drawing/2014/main" id="{6EECCDB4-FE28-43E6-AAE4-2506A3BAF9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05721" y="251460"/>
          <a:ext cx="3237979" cy="681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347831</xdr:colOff>
      <xdr:row>1</xdr:row>
      <xdr:rowOff>80888</xdr:rowOff>
    </xdr:from>
    <xdr:to>
      <xdr:col>9</xdr:col>
      <xdr:colOff>589877</xdr:colOff>
      <xdr:row>5</xdr:row>
      <xdr:rowOff>152399</xdr:rowOff>
    </xdr:to>
    <xdr:pic>
      <xdr:nvPicPr>
        <xdr:cNvPr id="4" name="Picture 3" descr="Image result for sociÃ©tÃ© de recherche sur le cancer logo">
          <a:extLst>
            <a:ext uri="{FF2B5EF4-FFF2-40B4-BE49-F238E27FC236}">
              <a16:creationId xmlns:a16="http://schemas.microsoft.com/office/drawing/2014/main" id="{72B3C7AE-9C67-4635-9732-5439ADE39D8B}"/>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17481" b="39332"/>
        <a:stretch/>
      </xdr:blipFill>
      <xdr:spPr bwMode="auto">
        <a:xfrm>
          <a:off x="11770211" y="263768"/>
          <a:ext cx="2246106" cy="803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434340</xdr:colOff>
      <xdr:row>1</xdr:row>
      <xdr:rowOff>53341</xdr:rowOff>
    </xdr:from>
    <xdr:to>
      <xdr:col>1</xdr:col>
      <xdr:colOff>2647950</xdr:colOff>
      <xdr:row>5</xdr:row>
      <xdr:rowOff>20404</xdr:rowOff>
    </xdr:to>
    <xdr:pic>
      <xdr:nvPicPr>
        <xdr:cNvPr id="5" name="Picture 4" descr="Image result for fond recherche santÃ© logo">
          <a:extLst>
            <a:ext uri="{FF2B5EF4-FFF2-40B4-BE49-F238E27FC236}">
              <a16:creationId xmlns:a16="http://schemas.microsoft.com/office/drawing/2014/main" id="{EF8347C8-9D3E-4CEB-A5DD-4923CF271CF4}"/>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6260" t="17039" r="5796" b="9737"/>
        <a:stretch/>
      </xdr:blipFill>
      <xdr:spPr bwMode="auto">
        <a:xfrm>
          <a:off x="1043940" y="236221"/>
          <a:ext cx="2202180" cy="698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403859</xdr:colOff>
      <xdr:row>0</xdr:row>
      <xdr:rowOff>129540</xdr:rowOff>
    </xdr:from>
    <xdr:to>
      <xdr:col>6</xdr:col>
      <xdr:colOff>740979</xdr:colOff>
      <xdr:row>5</xdr:row>
      <xdr:rowOff>152400</xdr:rowOff>
    </xdr:to>
    <xdr:pic>
      <xdr:nvPicPr>
        <xdr:cNvPr id="6" name="Picture 5" descr="Image result for oncopole logo">
          <a:extLst>
            <a:ext uri="{FF2B5EF4-FFF2-40B4-BE49-F238E27FC236}">
              <a16:creationId xmlns:a16="http://schemas.microsoft.com/office/drawing/2014/main" id="{E44F49D1-0676-43F6-8B0B-DAF6829A7307}"/>
            </a:ext>
          </a:extLst>
        </xdr:cNvPr>
        <xdr:cNvPicPr>
          <a:picLocks noChangeAspect="1" noChangeArrowheads="1"/>
        </xdr:cNvPicPr>
      </xdr:nvPicPr>
      <xdr:blipFill>
        <a:blip xmlns:r="http://schemas.openxmlformats.org/officeDocument/2006/relationships" r:embed="rId5">
          <a:extLst>
            <a:ext uri="{BEBA8EAE-BF5A-486C-A8C5-ECC9F3942E4B}">
              <a14:imgProps xmlns:a14="http://schemas.microsoft.com/office/drawing/2010/main">
                <a14:imgLayer r:embed="rId6">
                  <a14:imgEffect>
                    <a14:sharpenSoften amount="50000"/>
                  </a14:imgEffect>
                  <a14:imgEffect>
                    <a14:saturation sat="101000"/>
                  </a14:imgEffect>
                </a14:imgLayer>
              </a14:imgProps>
            </a:ext>
            <a:ext uri="{28A0092B-C50C-407E-A947-70E740481C1C}">
              <a14:useLocalDpi xmlns:a14="http://schemas.microsoft.com/office/drawing/2010/main" val="0"/>
            </a:ext>
          </a:extLst>
        </a:blip>
        <a:srcRect/>
        <a:stretch>
          <a:fillRect/>
        </a:stretch>
      </xdr:blipFill>
      <xdr:spPr bwMode="auto">
        <a:xfrm>
          <a:off x="6705599" y="129540"/>
          <a:ext cx="2708845" cy="937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568366</xdr:colOff>
      <xdr:row>0</xdr:row>
      <xdr:rowOff>165161</xdr:rowOff>
    </xdr:from>
    <xdr:to>
      <xdr:col>7</xdr:col>
      <xdr:colOff>114602</xdr:colOff>
      <xdr:row>6</xdr:row>
      <xdr:rowOff>17202</xdr:rowOff>
    </xdr:to>
    <xdr:pic>
      <xdr:nvPicPr>
        <xdr:cNvPr id="3" name="Picture 2" descr="Image result for TransmedTech">
          <a:extLst>
            <a:ext uri="{FF2B5EF4-FFF2-40B4-BE49-F238E27FC236}">
              <a16:creationId xmlns:a16="http://schemas.microsoft.com/office/drawing/2014/main" id="{92AD95F4-8593-4F2B-B99D-73782C8181D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99" b="5216"/>
        <a:stretch/>
      </xdr:blipFill>
      <xdr:spPr bwMode="auto">
        <a:xfrm>
          <a:off x="9927714" y="165161"/>
          <a:ext cx="1749410" cy="949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2848993</xdr:colOff>
      <xdr:row>1</xdr:row>
      <xdr:rowOff>91243</xdr:rowOff>
    </xdr:from>
    <xdr:to>
      <xdr:col>4</xdr:col>
      <xdr:colOff>19132</xdr:colOff>
      <xdr:row>5</xdr:row>
      <xdr:rowOff>22168</xdr:rowOff>
    </xdr:to>
    <xdr:pic>
      <xdr:nvPicPr>
        <xdr:cNvPr id="4" name="Picture 3" descr="Image result for MEDTEQ">
          <a:extLst>
            <a:ext uri="{FF2B5EF4-FFF2-40B4-BE49-F238E27FC236}">
              <a16:creationId xmlns:a16="http://schemas.microsoft.com/office/drawing/2014/main" id="{F3327B3A-E0E9-414E-8FAC-3C19A2F0E7F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61906" y="273460"/>
          <a:ext cx="3155898" cy="667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662569</xdr:colOff>
      <xdr:row>1</xdr:row>
      <xdr:rowOff>103169</xdr:rowOff>
    </xdr:from>
    <xdr:to>
      <xdr:col>8</xdr:col>
      <xdr:colOff>1432163</xdr:colOff>
      <xdr:row>5</xdr:row>
      <xdr:rowOff>174680</xdr:rowOff>
    </xdr:to>
    <xdr:pic>
      <xdr:nvPicPr>
        <xdr:cNvPr id="5" name="Picture 4" descr="Image result for sociÃ©tÃ© de recherche sur le cancer logo">
          <a:extLst>
            <a:ext uri="{FF2B5EF4-FFF2-40B4-BE49-F238E27FC236}">
              <a16:creationId xmlns:a16="http://schemas.microsoft.com/office/drawing/2014/main" id="{75E51C35-CDBA-4DC0-A73B-D31662EA0374}"/>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17481" b="39332"/>
        <a:stretch/>
      </xdr:blipFill>
      <xdr:spPr bwMode="auto">
        <a:xfrm>
          <a:off x="12225091" y="285386"/>
          <a:ext cx="2231143" cy="796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173106</xdr:colOff>
      <xdr:row>1</xdr:row>
      <xdr:rowOff>57151</xdr:rowOff>
    </xdr:from>
    <xdr:to>
      <xdr:col>1</xdr:col>
      <xdr:colOff>2379096</xdr:colOff>
      <xdr:row>5</xdr:row>
      <xdr:rowOff>15324</xdr:rowOff>
    </xdr:to>
    <xdr:pic>
      <xdr:nvPicPr>
        <xdr:cNvPr id="6" name="Picture 5" descr="Image result for fond recherche santÃ© logo">
          <a:extLst>
            <a:ext uri="{FF2B5EF4-FFF2-40B4-BE49-F238E27FC236}">
              <a16:creationId xmlns:a16="http://schemas.microsoft.com/office/drawing/2014/main" id="{64D77CE6-1E10-46E1-AB52-E97BCF781BE3}"/>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6260" t="17039" r="5796" b="9737"/>
        <a:stretch/>
      </xdr:blipFill>
      <xdr:spPr bwMode="auto">
        <a:xfrm>
          <a:off x="786019" y="239368"/>
          <a:ext cx="2209800" cy="6908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275809</xdr:colOff>
      <xdr:row>1</xdr:row>
      <xdr:rowOff>63646</xdr:rowOff>
    </xdr:from>
    <xdr:to>
      <xdr:col>6</xdr:col>
      <xdr:colOff>320874</xdr:colOff>
      <xdr:row>5</xdr:row>
      <xdr:rowOff>57316</xdr:rowOff>
    </xdr:to>
    <xdr:pic>
      <xdr:nvPicPr>
        <xdr:cNvPr id="2" name="Picture 1">
          <a:extLst>
            <a:ext uri="{FF2B5EF4-FFF2-40B4-BE49-F238E27FC236}">
              <a16:creationId xmlns:a16="http://schemas.microsoft.com/office/drawing/2014/main" id="{07C30D34-622A-41AC-9F45-9B32B64D902B}"/>
            </a:ext>
          </a:extLst>
        </xdr:cNvPr>
        <xdr:cNvPicPr>
          <a:picLocks noChangeAspect="1"/>
        </xdr:cNvPicPr>
      </xdr:nvPicPr>
      <xdr:blipFill>
        <a:blip xmlns:r="http://schemas.openxmlformats.org/officeDocument/2006/relationships" r:embed="rId5"/>
        <a:stretch>
          <a:fillRect/>
        </a:stretch>
      </xdr:blipFill>
      <xdr:spPr>
        <a:xfrm>
          <a:off x="6901896" y="245863"/>
          <a:ext cx="2766896" cy="7187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1_PROGRAMMES\6_Oncopole\Oncopole%20simulateur%20-%20in%20progres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EDTEQ_2_BUDGET-PROJECT_CODE-en%20travaux-noFG-portrai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TRL1-3"/>
      <sheetName val="TRL4-6"/>
      <sheetName val="iTMT TRL1-3"/>
      <sheetName val="iTMT TRL4-6"/>
      <sheetName val="Budget de projet"/>
      <sheetName val="Données"/>
    </sheetNames>
    <sheetDataSet>
      <sheetData sheetId="0">
        <row r="4">
          <cell r="M4" t="str">
            <v>Montant ($)</v>
          </cell>
        </row>
        <row r="6">
          <cell r="M6">
            <v>0</v>
          </cell>
        </row>
        <row r="8">
          <cell r="M8">
            <v>0</v>
          </cell>
        </row>
      </sheetData>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TEQ - Budget"/>
      <sheetName val="MESI"/>
      <sheetName val="Formulas"/>
      <sheetName val="FRA"/>
      <sheetName val="ENG"/>
      <sheetName val="Données"/>
      <sheetName val="Optimisation"/>
    </sheetNames>
    <sheetDataSet>
      <sheetData sheetId="0" refreshError="1"/>
      <sheetData sheetId="1" refreshError="1"/>
      <sheetData sheetId="2" refreshError="1"/>
      <sheetData sheetId="3" refreshError="1"/>
      <sheetData sheetId="4" refreshError="1"/>
      <sheetData sheetId="5" refreshError="1">
        <row r="13">
          <cell r="R13">
            <v>7500</v>
          </cell>
        </row>
        <row r="19">
          <cell r="R19">
            <v>6000</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O84"/>
  <sheetViews>
    <sheetView topLeftCell="D19" workbookViewId="0">
      <selection activeCell="B77" sqref="B77:H78"/>
    </sheetView>
  </sheetViews>
  <sheetFormatPr baseColWidth="10" defaultColWidth="11.5703125" defaultRowHeight="15" x14ac:dyDescent="0.25"/>
  <cols>
    <col min="3" max="3" width="26.85546875" bestFit="1" customWidth="1"/>
    <col min="4" max="4" width="30" customWidth="1"/>
    <col min="5" max="5" width="14.140625" bestFit="1" customWidth="1"/>
    <col min="6" max="6" width="14.7109375" customWidth="1"/>
    <col min="7" max="7" width="14.5703125" customWidth="1"/>
    <col min="8" max="8" width="48.7109375" bestFit="1" customWidth="1"/>
    <col min="9" max="9" width="13.85546875" customWidth="1"/>
    <col min="10" max="10" width="17.28515625" customWidth="1"/>
    <col min="11" max="11" width="36" customWidth="1"/>
    <col min="12" max="12" width="13.5703125" bestFit="1" customWidth="1"/>
    <col min="14" max="14" width="14.85546875" customWidth="1"/>
  </cols>
  <sheetData>
    <row r="1" spans="2:15" x14ac:dyDescent="0.25">
      <c r="F1" s="370" t="s">
        <v>33</v>
      </c>
      <c r="G1" s="370"/>
      <c r="M1" s="370" t="s">
        <v>12</v>
      </c>
      <c r="N1" s="370"/>
    </row>
    <row r="3" spans="2:15" x14ac:dyDescent="0.25">
      <c r="E3" s="371" t="s">
        <v>8</v>
      </c>
      <c r="F3" s="371"/>
      <c r="G3" s="371" t="s">
        <v>9</v>
      </c>
      <c r="H3" s="371"/>
      <c r="L3" s="371" t="s">
        <v>8</v>
      </c>
      <c r="M3" s="371"/>
      <c r="N3" s="371" t="s">
        <v>9</v>
      </c>
      <c r="O3" s="371"/>
    </row>
    <row r="4" spans="2:15" x14ac:dyDescent="0.25">
      <c r="E4" s="10" t="s">
        <v>5</v>
      </c>
      <c r="F4" s="10" t="s">
        <v>7</v>
      </c>
      <c r="G4" s="10" t="s">
        <v>10</v>
      </c>
      <c r="H4" s="10" t="s">
        <v>7</v>
      </c>
      <c r="L4" s="2" t="s">
        <v>5</v>
      </c>
      <c r="M4" s="2" t="s">
        <v>7</v>
      </c>
      <c r="N4" s="2" t="s">
        <v>10</v>
      </c>
      <c r="O4" s="2" t="s">
        <v>7</v>
      </c>
    </row>
    <row r="5" spans="2:15" x14ac:dyDescent="0.25">
      <c r="C5" s="373" t="s">
        <v>13</v>
      </c>
      <c r="D5" s="1" t="s">
        <v>0</v>
      </c>
      <c r="E5" s="372"/>
      <c r="F5" s="372"/>
      <c r="G5" s="1"/>
      <c r="H5" s="1"/>
      <c r="J5" s="375" t="s">
        <v>13</v>
      </c>
      <c r="K5" s="1" t="s">
        <v>0</v>
      </c>
      <c r="L5" s="372"/>
      <c r="M5" s="372"/>
      <c r="N5" s="1"/>
      <c r="O5" s="1"/>
    </row>
    <row r="6" spans="2:15" x14ac:dyDescent="0.25">
      <c r="C6" s="374"/>
      <c r="D6" s="1" t="s">
        <v>11</v>
      </c>
      <c r="E6" s="3">
        <v>0.4</v>
      </c>
      <c r="F6" s="12">
        <f>E6*F12</f>
        <v>0</v>
      </c>
      <c r="G6" s="1"/>
      <c r="H6" s="1"/>
      <c r="J6" s="375"/>
      <c r="K6" s="1" t="s">
        <v>11</v>
      </c>
      <c r="L6" s="3">
        <v>0.2</v>
      </c>
      <c r="M6" s="1"/>
      <c r="N6" s="1"/>
      <c r="O6" s="1"/>
    </row>
    <row r="7" spans="2:15" x14ac:dyDescent="0.25">
      <c r="C7" s="375" t="s">
        <v>14</v>
      </c>
      <c r="D7" s="1" t="s">
        <v>16</v>
      </c>
      <c r="E7" s="5">
        <f>750000/4</f>
        <v>187500</v>
      </c>
      <c r="F7" s="5"/>
      <c r="G7" s="1"/>
      <c r="H7" s="1"/>
      <c r="J7" s="375" t="s">
        <v>14</v>
      </c>
      <c r="K7" s="1" t="s">
        <v>1</v>
      </c>
      <c r="L7" s="1"/>
      <c r="M7" s="1"/>
      <c r="N7" s="1"/>
      <c r="O7" s="1"/>
    </row>
    <row r="8" spans="2:15" x14ac:dyDescent="0.25">
      <c r="C8" s="375"/>
      <c r="D8" s="1" t="s">
        <v>27</v>
      </c>
      <c r="E8" s="5">
        <f>225000-E7</f>
        <v>37500</v>
      </c>
      <c r="F8" s="5"/>
      <c r="G8" s="1"/>
      <c r="H8" s="1"/>
      <c r="J8" s="375"/>
      <c r="K8" s="1" t="s">
        <v>2</v>
      </c>
      <c r="L8" s="1"/>
      <c r="M8" s="1"/>
      <c r="N8" s="1"/>
      <c r="O8" s="1"/>
    </row>
    <row r="9" spans="2:15" x14ac:dyDescent="0.25">
      <c r="B9">
        <f>20/100*20/100</f>
        <v>0.04</v>
      </c>
      <c r="C9" s="375"/>
      <c r="D9" s="19" t="s">
        <v>17</v>
      </c>
      <c r="E9" s="1"/>
      <c r="F9" s="12">
        <f>F11*0.04</f>
        <v>0</v>
      </c>
      <c r="G9" s="1"/>
      <c r="H9" s="1"/>
      <c r="J9" s="375"/>
      <c r="K9" s="1" t="s">
        <v>4</v>
      </c>
      <c r="L9" s="1"/>
      <c r="M9" s="1"/>
      <c r="N9" s="1"/>
      <c r="O9" s="1"/>
    </row>
    <row r="10" spans="2:15" x14ac:dyDescent="0.25">
      <c r="C10" s="4" t="s">
        <v>15</v>
      </c>
      <c r="D10" s="1" t="s">
        <v>3</v>
      </c>
      <c r="E10" s="7"/>
      <c r="F10" s="7"/>
      <c r="G10" s="1"/>
      <c r="H10" s="1"/>
      <c r="J10" s="4" t="s">
        <v>15</v>
      </c>
      <c r="K10" s="1" t="s">
        <v>3</v>
      </c>
      <c r="L10" s="1"/>
      <c r="M10" s="1"/>
      <c r="N10" s="1"/>
      <c r="O10" s="1"/>
    </row>
    <row r="11" spans="2:15" x14ac:dyDescent="0.25">
      <c r="D11" s="1" t="s">
        <v>6</v>
      </c>
      <c r="E11" s="7"/>
      <c r="F11" s="5"/>
      <c r="G11" s="1"/>
      <c r="H11" s="1"/>
      <c r="K11" s="1" t="s">
        <v>6</v>
      </c>
      <c r="L11" s="1"/>
      <c r="M11" s="1"/>
      <c r="N11" s="1"/>
      <c r="O11" s="1"/>
    </row>
    <row r="12" spans="2:15" x14ac:dyDescent="0.25">
      <c r="D12" s="16" t="s">
        <v>26</v>
      </c>
      <c r="E12" s="1"/>
      <c r="F12" s="12">
        <f>F11*5%</f>
        <v>0</v>
      </c>
      <c r="G12" s="1"/>
      <c r="H12" s="1"/>
    </row>
    <row r="14" spans="2:15" x14ac:dyDescent="0.25">
      <c r="D14" s="11" t="s">
        <v>18</v>
      </c>
      <c r="E14" s="8"/>
      <c r="F14" s="9"/>
      <c r="H14" t="s">
        <v>29</v>
      </c>
      <c r="K14" t="s">
        <v>36</v>
      </c>
      <c r="L14" s="6">
        <f>150000/4</f>
        <v>37500</v>
      </c>
    </row>
    <row r="15" spans="2:15" x14ac:dyDescent="0.25">
      <c r="D15" s="1" t="s">
        <v>19</v>
      </c>
      <c r="E15" s="1"/>
      <c r="F15" s="20">
        <v>0.4</v>
      </c>
      <c r="G15" s="1"/>
      <c r="H15" s="9">
        <f>SUM(H16:H17)</f>
        <v>225000</v>
      </c>
      <c r="K15" t="s">
        <v>34</v>
      </c>
    </row>
    <row r="16" spans="2:15" x14ac:dyDescent="0.25">
      <c r="C16" t="s">
        <v>38</v>
      </c>
      <c r="D16" s="1" t="s">
        <v>35</v>
      </c>
      <c r="E16" s="3">
        <v>0.8</v>
      </c>
      <c r="F16" s="368" t="s">
        <v>37</v>
      </c>
      <c r="G16" s="12">
        <f>F11</f>
        <v>0</v>
      </c>
      <c r="H16" s="6">
        <v>187500</v>
      </c>
      <c r="J16" s="9"/>
      <c r="K16" t="s">
        <v>31</v>
      </c>
      <c r="L16" s="6">
        <f>750000+150000</f>
        <v>900000</v>
      </c>
    </row>
    <row r="17" spans="3:12" x14ac:dyDescent="0.25">
      <c r="C17" t="s">
        <v>40</v>
      </c>
      <c r="D17" s="1" t="s">
        <v>20</v>
      </c>
      <c r="E17" s="3">
        <v>0.2</v>
      </c>
      <c r="F17" s="369"/>
      <c r="G17" s="12">
        <f>20*G16/80</f>
        <v>0</v>
      </c>
      <c r="H17" s="9">
        <f>H16*E17</f>
        <v>37500</v>
      </c>
      <c r="K17" t="s">
        <v>32</v>
      </c>
      <c r="L17" s="6">
        <f>L16/4</f>
        <v>225000</v>
      </c>
    </row>
    <row r="18" spans="3:12" x14ac:dyDescent="0.25">
      <c r="D18" s="1" t="s">
        <v>28</v>
      </c>
      <c r="E18" s="3"/>
      <c r="F18" s="20">
        <v>0.4</v>
      </c>
      <c r="G18" s="1"/>
      <c r="H18" s="9">
        <f>H17</f>
        <v>37500</v>
      </c>
    </row>
    <row r="19" spans="3:12" x14ac:dyDescent="0.25">
      <c r="H19" s="17">
        <f>SUM(H15:H18)</f>
        <v>487500</v>
      </c>
      <c r="I19" s="18" t="s">
        <v>30</v>
      </c>
    </row>
    <row r="20" spans="3:12" x14ac:dyDescent="0.25">
      <c r="H20" s="9"/>
      <c r="K20" s="6">
        <f>100000</f>
        <v>100000</v>
      </c>
    </row>
    <row r="22" spans="3:12" x14ac:dyDescent="0.25">
      <c r="D22" s="14" t="s">
        <v>21</v>
      </c>
      <c r="E22" s="15">
        <v>562900</v>
      </c>
    </row>
    <row r="23" spans="3:12" x14ac:dyDescent="0.25">
      <c r="D23" t="s">
        <v>23</v>
      </c>
      <c r="E23" s="13">
        <v>56250</v>
      </c>
      <c r="H23" s="9"/>
      <c r="J23" t="s">
        <v>39</v>
      </c>
      <c r="K23" t="s">
        <v>38</v>
      </c>
    </row>
    <row r="24" spans="3:12" x14ac:dyDescent="0.25">
      <c r="D24" t="s">
        <v>24</v>
      </c>
      <c r="E24" s="9">
        <f>G16</f>
        <v>0</v>
      </c>
      <c r="K24" t="s">
        <v>40</v>
      </c>
    </row>
    <row r="25" spans="3:12" x14ac:dyDescent="0.25">
      <c r="D25" t="s">
        <v>22</v>
      </c>
      <c r="E25" s="9">
        <f>E22-SUM(E23:E24)</f>
        <v>506650</v>
      </c>
    </row>
    <row r="27" spans="3:12" x14ac:dyDescent="0.25">
      <c r="D27" t="s">
        <v>25</v>
      </c>
    </row>
    <row r="29" spans="3:12" ht="15.75" thickBot="1" x14ac:dyDescent="0.3"/>
    <row r="30" spans="3:12" ht="15.75" thickBot="1" x14ac:dyDescent="0.3">
      <c r="G30" s="124" t="s">
        <v>275</v>
      </c>
      <c r="H30" s="125" t="s">
        <v>55</v>
      </c>
      <c r="I30" s="125" t="s">
        <v>61</v>
      </c>
      <c r="J30" s="127" t="s">
        <v>58</v>
      </c>
      <c r="K30" s="126" t="s">
        <v>112</v>
      </c>
    </row>
    <row r="31" spans="3:12" x14ac:dyDescent="0.25">
      <c r="D31" t="s">
        <v>41</v>
      </c>
      <c r="E31" s="25">
        <v>0.4</v>
      </c>
      <c r="G31" s="122" t="s">
        <v>62</v>
      </c>
      <c r="H31" s="123" t="s">
        <v>273</v>
      </c>
      <c r="I31" s="123" t="s">
        <v>67</v>
      </c>
      <c r="J31" s="128" t="s">
        <v>271</v>
      </c>
      <c r="K31" s="131" t="s">
        <v>267</v>
      </c>
    </row>
    <row r="32" spans="3:12" x14ac:dyDescent="0.25">
      <c r="D32" t="s">
        <v>42</v>
      </c>
      <c r="E32" s="26">
        <v>0.41379300000000002</v>
      </c>
      <c r="G32" s="121" t="s">
        <v>63</v>
      </c>
      <c r="H32" s="1" t="s">
        <v>274</v>
      </c>
      <c r="I32" s="1" t="s">
        <v>68</v>
      </c>
      <c r="J32" s="129" t="s">
        <v>272</v>
      </c>
      <c r="K32" s="130" t="s">
        <v>280</v>
      </c>
    </row>
    <row r="33" spans="4:11" x14ac:dyDescent="0.25">
      <c r="D33" t="s">
        <v>43</v>
      </c>
      <c r="E33" s="26">
        <f>E32/4</f>
        <v>0.10344825000000001</v>
      </c>
      <c r="G33" s="1" t="s">
        <v>256</v>
      </c>
      <c r="H33" s="1" t="s">
        <v>256</v>
      </c>
      <c r="I33" s="1" t="s">
        <v>91</v>
      </c>
      <c r="J33" s="129" t="s">
        <v>256</v>
      </c>
      <c r="K33" s="130" t="s">
        <v>268</v>
      </c>
    </row>
    <row r="34" spans="4:11" x14ac:dyDescent="0.25">
      <c r="E34" s="26"/>
      <c r="G34" s="146"/>
      <c r="H34" s="146"/>
      <c r="I34" s="146"/>
      <c r="J34" s="146"/>
      <c r="K34" s="130" t="s">
        <v>269</v>
      </c>
    </row>
    <row r="35" spans="4:11" x14ac:dyDescent="0.25">
      <c r="D35" t="s">
        <v>2</v>
      </c>
      <c r="E35" s="26">
        <f>E32/5</f>
        <v>8.2758600000000002E-2</v>
      </c>
      <c r="K35" s="130" t="s">
        <v>270</v>
      </c>
    </row>
    <row r="36" spans="4:11" x14ac:dyDescent="0.25">
      <c r="E36" s="27"/>
      <c r="K36" s="129" t="s">
        <v>256</v>
      </c>
    </row>
    <row r="37" spans="4:11" x14ac:dyDescent="0.25">
      <c r="E37" s="27"/>
    </row>
    <row r="38" spans="4:11" x14ac:dyDescent="0.25">
      <c r="E38" s="27">
        <f>SUM(E32:E35)</f>
        <v>0.59999985</v>
      </c>
    </row>
    <row r="40" spans="4:11" x14ac:dyDescent="0.25">
      <c r="D40" s="132"/>
      <c r="E40" s="367" t="s">
        <v>116</v>
      </c>
      <c r="F40" s="367"/>
      <c r="H40" s="171" t="s">
        <v>167</v>
      </c>
      <c r="I40" s="161"/>
      <c r="J40" s="161"/>
    </row>
    <row r="41" spans="4:11" x14ac:dyDescent="0.25">
      <c r="D41" s="133" t="s">
        <v>117</v>
      </c>
      <c r="E41" s="133" t="s">
        <v>110</v>
      </c>
      <c r="F41" s="133" t="s">
        <v>41</v>
      </c>
      <c r="H41" s="162" t="s">
        <v>168</v>
      </c>
      <c r="I41" s="163" t="s">
        <v>166</v>
      </c>
      <c r="J41" s="161"/>
    </row>
    <row r="42" spans="4:11" x14ac:dyDescent="0.25">
      <c r="D42" s="137" t="s">
        <v>256</v>
      </c>
      <c r="E42" s="138">
        <v>0</v>
      </c>
      <c r="F42" s="134"/>
      <c r="H42" s="164" t="s">
        <v>169</v>
      </c>
      <c r="I42" s="163" t="s">
        <v>170</v>
      </c>
      <c r="J42" s="161"/>
    </row>
    <row r="43" spans="4:11" x14ac:dyDescent="0.25">
      <c r="D43" s="135" t="s">
        <v>118</v>
      </c>
      <c r="E43" s="136">
        <v>0.27</v>
      </c>
      <c r="F43" s="136">
        <v>0.27</v>
      </c>
      <c r="H43" s="165"/>
      <c r="I43" s="161"/>
      <c r="J43" s="161"/>
    </row>
    <row r="44" spans="4:11" x14ac:dyDescent="0.25">
      <c r="D44" s="135" t="s">
        <v>119</v>
      </c>
      <c r="E44" s="136">
        <v>0.27</v>
      </c>
      <c r="F44" s="136">
        <v>0.27</v>
      </c>
      <c r="H44" s="171" t="s">
        <v>171</v>
      </c>
      <c r="I44" s="161"/>
      <c r="J44" s="161"/>
    </row>
    <row r="45" spans="4:11" x14ac:dyDescent="0.25">
      <c r="D45" s="135" t="s">
        <v>120</v>
      </c>
      <c r="E45" s="136">
        <v>0.3</v>
      </c>
      <c r="F45" s="136">
        <v>0.27</v>
      </c>
      <c r="H45" s="166" t="s">
        <v>159</v>
      </c>
      <c r="I45" s="160" t="s">
        <v>160</v>
      </c>
      <c r="J45" s="161"/>
    </row>
    <row r="46" spans="4:11" x14ac:dyDescent="0.25">
      <c r="D46" s="135" t="s">
        <v>121</v>
      </c>
      <c r="E46" s="136">
        <v>0.3</v>
      </c>
      <c r="F46" s="136">
        <v>0.27</v>
      </c>
      <c r="H46" s="166" t="s">
        <v>161</v>
      </c>
      <c r="I46" s="160" t="s">
        <v>162</v>
      </c>
      <c r="J46" s="161"/>
    </row>
    <row r="47" spans="4:11" x14ac:dyDescent="0.25">
      <c r="D47" s="135" t="s">
        <v>122</v>
      </c>
      <c r="E47" s="136">
        <v>0.3</v>
      </c>
      <c r="F47" s="136">
        <v>0.27</v>
      </c>
      <c r="H47" s="166" t="s">
        <v>163</v>
      </c>
      <c r="I47" s="160" t="s">
        <v>160</v>
      </c>
      <c r="J47" s="161"/>
    </row>
    <row r="48" spans="4:11" x14ac:dyDescent="0.25">
      <c r="D48" s="135" t="s">
        <v>123</v>
      </c>
      <c r="E48" s="136">
        <v>0.3</v>
      </c>
      <c r="F48" s="136">
        <v>0.27</v>
      </c>
      <c r="H48" s="167" t="s">
        <v>164</v>
      </c>
      <c r="I48" s="161"/>
      <c r="J48" s="161"/>
    </row>
    <row r="49" spans="4:10" x14ac:dyDescent="0.25">
      <c r="D49" s="135" t="s">
        <v>124</v>
      </c>
      <c r="E49" s="136">
        <v>0.27</v>
      </c>
      <c r="F49" s="136">
        <v>0.27</v>
      </c>
      <c r="H49" s="162" t="s">
        <v>165</v>
      </c>
      <c r="I49" s="163" t="s">
        <v>166</v>
      </c>
      <c r="J49" s="161"/>
    </row>
    <row r="50" spans="4:10" x14ac:dyDescent="0.25">
      <c r="D50" s="135" t="s">
        <v>125</v>
      </c>
      <c r="E50" s="136">
        <v>0.27</v>
      </c>
      <c r="F50" s="136">
        <v>0.27</v>
      </c>
      <c r="H50" s="162" t="s">
        <v>172</v>
      </c>
      <c r="I50" s="163" t="s">
        <v>162</v>
      </c>
      <c r="J50" s="161"/>
    </row>
    <row r="51" spans="4:10" x14ac:dyDescent="0.25">
      <c r="D51" s="135" t="s">
        <v>126</v>
      </c>
      <c r="E51" s="136">
        <v>0.27</v>
      </c>
      <c r="F51" s="136">
        <v>0.27</v>
      </c>
      <c r="H51" s="171" t="s">
        <v>173</v>
      </c>
      <c r="I51" s="161"/>
      <c r="J51" s="161"/>
    </row>
    <row r="52" spans="4:10" x14ac:dyDescent="0.25">
      <c r="D52" s="135" t="s">
        <v>127</v>
      </c>
      <c r="E52" s="136">
        <v>0</v>
      </c>
      <c r="F52" s="136">
        <v>0</v>
      </c>
      <c r="H52" s="168" t="s">
        <v>174</v>
      </c>
      <c r="I52" s="161"/>
      <c r="J52" s="161"/>
    </row>
    <row r="53" spans="4:10" x14ac:dyDescent="0.25">
      <c r="D53" s="135" t="s">
        <v>128</v>
      </c>
      <c r="E53" s="136">
        <v>0</v>
      </c>
      <c r="F53" s="136">
        <v>0</v>
      </c>
      <c r="H53" s="169"/>
      <c r="I53" s="161"/>
      <c r="J53" s="161"/>
    </row>
    <row r="54" spans="4:10" x14ac:dyDescent="0.25">
      <c r="D54" s="135" t="s">
        <v>129</v>
      </c>
      <c r="E54" s="136">
        <v>0.3</v>
      </c>
      <c r="F54" s="136">
        <v>0.27</v>
      </c>
      <c r="H54" s="166" t="s">
        <v>175</v>
      </c>
      <c r="I54" s="160" t="s">
        <v>176</v>
      </c>
      <c r="J54" s="161"/>
    </row>
    <row r="55" spans="4:10" x14ac:dyDescent="0.25">
      <c r="D55" s="135" t="s">
        <v>255</v>
      </c>
      <c r="E55" s="136">
        <v>0.3</v>
      </c>
      <c r="F55" s="136">
        <v>0.27</v>
      </c>
      <c r="H55" s="166" t="s">
        <v>177</v>
      </c>
      <c r="I55" s="160" t="s">
        <v>178</v>
      </c>
      <c r="J55" s="161"/>
    </row>
    <row r="56" spans="4:10" x14ac:dyDescent="0.25">
      <c r="D56" s="135" t="s">
        <v>344</v>
      </c>
      <c r="E56" s="136">
        <v>0.3</v>
      </c>
      <c r="F56" s="136">
        <v>0.27</v>
      </c>
      <c r="H56" s="166"/>
      <c r="I56" s="160"/>
      <c r="J56" s="161"/>
    </row>
    <row r="57" spans="4:10" x14ac:dyDescent="0.25">
      <c r="D57" s="135" t="s">
        <v>131</v>
      </c>
      <c r="E57" s="136">
        <v>0.27</v>
      </c>
      <c r="F57" s="136">
        <v>0.27</v>
      </c>
      <c r="H57" s="165"/>
      <c r="I57" s="161"/>
      <c r="J57" s="161"/>
    </row>
    <row r="58" spans="4:10" x14ac:dyDescent="0.25">
      <c r="D58" s="135" t="s">
        <v>132</v>
      </c>
      <c r="E58" s="136">
        <v>0.27</v>
      </c>
      <c r="F58" s="136">
        <v>0.27</v>
      </c>
      <c r="H58" s="165" t="s">
        <v>179</v>
      </c>
      <c r="I58" s="161"/>
      <c r="J58" s="161"/>
    </row>
    <row r="59" spans="4:10" x14ac:dyDescent="0.25">
      <c r="D59" s="135" t="s">
        <v>133</v>
      </c>
      <c r="E59" s="136">
        <v>0.27</v>
      </c>
      <c r="F59" s="136">
        <v>0.27</v>
      </c>
      <c r="H59" s="170" t="s">
        <v>180</v>
      </c>
      <c r="I59" s="161"/>
      <c r="J59" s="161"/>
    </row>
    <row r="60" spans="4:10" x14ac:dyDescent="0.25">
      <c r="D60" s="135" t="s">
        <v>134</v>
      </c>
      <c r="E60" s="136">
        <v>0.27</v>
      </c>
      <c r="F60" s="136">
        <v>0.27</v>
      </c>
      <c r="H60" s="171" t="s">
        <v>181</v>
      </c>
      <c r="I60" s="160" t="s">
        <v>182</v>
      </c>
      <c r="J60" s="161"/>
    </row>
    <row r="61" spans="4:10" x14ac:dyDescent="0.25">
      <c r="D61" s="135" t="s">
        <v>135</v>
      </c>
      <c r="E61" s="136">
        <v>0.27</v>
      </c>
      <c r="F61" s="136">
        <v>0.27</v>
      </c>
      <c r="H61" s="171" t="s">
        <v>183</v>
      </c>
      <c r="I61" s="160" t="s">
        <v>184</v>
      </c>
      <c r="J61" s="161"/>
    </row>
    <row r="62" spans="4:10" x14ac:dyDescent="0.25">
      <c r="D62" s="135" t="s">
        <v>136</v>
      </c>
      <c r="E62" s="136">
        <v>0.27</v>
      </c>
      <c r="F62" s="136">
        <v>0.27</v>
      </c>
      <c r="H62" s="171" t="s">
        <v>185</v>
      </c>
      <c r="I62" s="160" t="s">
        <v>186</v>
      </c>
      <c r="J62" s="161"/>
    </row>
    <row r="63" spans="4:10" x14ac:dyDescent="0.25">
      <c r="D63" s="135" t="s">
        <v>137</v>
      </c>
      <c r="E63" s="136">
        <v>0.27</v>
      </c>
      <c r="F63" s="136">
        <v>0.27</v>
      </c>
      <c r="H63" s="171" t="s">
        <v>187</v>
      </c>
      <c r="I63" s="160" t="s">
        <v>184</v>
      </c>
      <c r="J63" s="161"/>
    </row>
    <row r="64" spans="4:10" x14ac:dyDescent="0.25">
      <c r="D64" s="135" t="s">
        <v>138</v>
      </c>
      <c r="E64" s="136">
        <v>0.27</v>
      </c>
      <c r="F64" s="136">
        <v>0.27</v>
      </c>
      <c r="H64" s="160"/>
      <c r="I64" s="161"/>
      <c r="J64" s="161"/>
    </row>
    <row r="65" spans="3:10" x14ac:dyDescent="0.25">
      <c r="D65" s="278" t="s">
        <v>216</v>
      </c>
      <c r="E65" s="279"/>
      <c r="F65" s="279"/>
      <c r="H65" s="160"/>
      <c r="I65" s="161"/>
      <c r="J65" s="161"/>
    </row>
    <row r="66" spans="3:10" ht="15.75" thickBot="1" x14ac:dyDescent="0.3">
      <c r="H66" s="172" t="s">
        <v>188</v>
      </c>
      <c r="I66" s="165" t="s">
        <v>189</v>
      </c>
      <c r="J66" s="161"/>
    </row>
    <row r="67" spans="3:10" ht="15.75" thickBot="1" x14ac:dyDescent="0.3">
      <c r="D67" s="277" t="s">
        <v>157</v>
      </c>
      <c r="H67" s="172"/>
      <c r="I67" s="165"/>
      <c r="J67" s="161"/>
    </row>
    <row r="68" spans="3:10" x14ac:dyDescent="0.25">
      <c r="C68" s="249" t="s">
        <v>227</v>
      </c>
      <c r="D68" s="249" t="s">
        <v>256</v>
      </c>
      <c r="H68" s="172"/>
      <c r="I68" s="165"/>
      <c r="J68" s="161"/>
    </row>
    <row r="69" spans="3:10" x14ac:dyDescent="0.25">
      <c r="C69" s="249" t="s">
        <v>234</v>
      </c>
      <c r="D69" s="249" t="s">
        <v>257</v>
      </c>
      <c r="E69">
        <v>350</v>
      </c>
      <c r="F69">
        <v>850</v>
      </c>
      <c r="G69">
        <v>1800</v>
      </c>
      <c r="H69">
        <v>4000</v>
      </c>
    </row>
    <row r="70" spans="3:10" x14ac:dyDescent="0.25">
      <c r="C70" s="249" t="s">
        <v>235</v>
      </c>
      <c r="D70" s="249" t="s">
        <v>258</v>
      </c>
      <c r="E70">
        <v>4000</v>
      </c>
      <c r="F70">
        <v>7500</v>
      </c>
    </row>
    <row r="71" spans="3:10" x14ac:dyDescent="0.25">
      <c r="C71" s="249" t="s">
        <v>236</v>
      </c>
      <c r="D71" s="249" t="s">
        <v>259</v>
      </c>
      <c r="E71">
        <v>4000</v>
      </c>
    </row>
    <row r="72" spans="3:10" x14ac:dyDescent="0.25">
      <c r="C72" s="249" t="s">
        <v>198</v>
      </c>
      <c r="D72" s="249" t="s">
        <v>198</v>
      </c>
      <c r="E72">
        <v>1800</v>
      </c>
    </row>
    <row r="73" spans="3:10" x14ac:dyDescent="0.25">
      <c r="C73" s="249" t="s">
        <v>237</v>
      </c>
      <c r="D73" s="249" t="s">
        <v>260</v>
      </c>
      <c r="E73">
        <v>4000</v>
      </c>
    </row>
    <row r="74" spans="3:10" x14ac:dyDescent="0.25">
      <c r="C74" s="249" t="s">
        <v>238</v>
      </c>
      <c r="D74" s="249" t="s">
        <v>261</v>
      </c>
      <c r="E74">
        <v>4000</v>
      </c>
    </row>
    <row r="75" spans="3:10" x14ac:dyDescent="0.25">
      <c r="C75" s="249" t="s">
        <v>239</v>
      </c>
      <c r="D75" s="249" t="s">
        <v>262</v>
      </c>
      <c r="E75">
        <v>4000</v>
      </c>
    </row>
    <row r="76" spans="3:10" x14ac:dyDescent="0.25">
      <c r="C76" s="249" t="s">
        <v>201</v>
      </c>
      <c r="D76" s="249" t="s">
        <v>201</v>
      </c>
      <c r="E76">
        <v>4000</v>
      </c>
    </row>
    <row r="77" spans="3:10" x14ac:dyDescent="0.25">
      <c r="C77" s="249" t="s">
        <v>202</v>
      </c>
      <c r="D77" s="249" t="s">
        <v>202</v>
      </c>
      <c r="E77">
        <v>1800</v>
      </c>
    </row>
    <row r="78" spans="3:10" x14ac:dyDescent="0.25">
      <c r="C78" s="249" t="s">
        <v>240</v>
      </c>
      <c r="D78" s="249" t="s">
        <v>263</v>
      </c>
      <c r="E78">
        <v>850</v>
      </c>
      <c r="F78">
        <v>1800</v>
      </c>
    </row>
    <row r="79" spans="3:10" x14ac:dyDescent="0.25">
      <c r="C79" s="249" t="s">
        <v>217</v>
      </c>
      <c r="D79" s="249" t="s">
        <v>217</v>
      </c>
      <c r="E79">
        <v>850</v>
      </c>
      <c r="F79">
        <v>1800</v>
      </c>
    </row>
    <row r="80" spans="3:10" x14ac:dyDescent="0.25">
      <c r="C80" s="249" t="s">
        <v>241</v>
      </c>
      <c r="D80" s="249" t="s">
        <v>264</v>
      </c>
      <c r="E80">
        <v>850</v>
      </c>
    </row>
    <row r="81" spans="3:5" x14ac:dyDescent="0.25">
      <c r="C81" s="249" t="s">
        <v>242</v>
      </c>
      <c r="D81" s="249" t="s">
        <v>265</v>
      </c>
      <c r="E81">
        <v>850</v>
      </c>
    </row>
    <row r="82" spans="3:5" x14ac:dyDescent="0.25">
      <c r="C82" s="249" t="s">
        <v>243</v>
      </c>
      <c r="D82" s="249" t="s">
        <v>278</v>
      </c>
      <c r="E82">
        <v>5000</v>
      </c>
    </row>
    <row r="83" spans="3:5" x14ac:dyDescent="0.25">
      <c r="C83" s="249" t="s">
        <v>244</v>
      </c>
      <c r="D83" s="249" t="s">
        <v>279</v>
      </c>
      <c r="E83">
        <v>5000</v>
      </c>
    </row>
    <row r="84" spans="3:5" x14ac:dyDescent="0.25">
      <c r="C84" s="249" t="s">
        <v>245</v>
      </c>
      <c r="D84" s="249" t="s">
        <v>266</v>
      </c>
      <c r="E84">
        <v>5000</v>
      </c>
    </row>
  </sheetData>
  <mergeCells count="14">
    <mergeCell ref="C5:C6"/>
    <mergeCell ref="C7:C9"/>
    <mergeCell ref="J5:J6"/>
    <mergeCell ref="J7:J9"/>
    <mergeCell ref="E3:F3"/>
    <mergeCell ref="G3:H3"/>
    <mergeCell ref="E5:F5"/>
    <mergeCell ref="E40:F40"/>
    <mergeCell ref="F16:F17"/>
    <mergeCell ref="F1:G1"/>
    <mergeCell ref="L3:M3"/>
    <mergeCell ref="N3:O3"/>
    <mergeCell ref="L5:M5"/>
    <mergeCell ref="M1:N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6:I56"/>
  <sheetViews>
    <sheetView topLeftCell="A19" workbookViewId="0">
      <selection activeCell="B42" sqref="B42"/>
    </sheetView>
  </sheetViews>
  <sheetFormatPr baseColWidth="10" defaultColWidth="9.140625" defaultRowHeight="15" x14ac:dyDescent="0.25"/>
  <cols>
    <col min="2" max="2" width="42.85546875" customWidth="1"/>
    <col min="3" max="3" width="26.7109375" customWidth="1"/>
    <col min="4" max="4" width="14.7109375" customWidth="1"/>
    <col min="5" max="5" width="11.85546875" bestFit="1" customWidth="1"/>
    <col min="7" max="7" width="9.85546875" customWidth="1"/>
  </cols>
  <sheetData>
    <row r="6" spans="2:9" ht="15.75" thickBot="1" x14ac:dyDescent="0.3">
      <c r="F6" t="s">
        <v>41</v>
      </c>
      <c r="G6" s="24">
        <v>0.4</v>
      </c>
    </row>
    <row r="7" spans="2:9" ht="15.75" thickBot="1" x14ac:dyDescent="0.3">
      <c r="B7" s="28" t="s">
        <v>142</v>
      </c>
      <c r="C7" s="35">
        <v>0</v>
      </c>
      <c r="F7" t="s">
        <v>42</v>
      </c>
      <c r="G7" s="23">
        <f>60/145</f>
        <v>0.41379310344827586</v>
      </c>
    </row>
    <row r="8" spans="2:9" ht="15.75" thickBot="1" x14ac:dyDescent="0.3">
      <c r="B8" s="29" t="s">
        <v>44</v>
      </c>
      <c r="C8" s="36">
        <f>'Budget de projet'!G43</f>
        <v>0</v>
      </c>
      <c r="F8" t="s">
        <v>43</v>
      </c>
      <c r="G8" s="23">
        <f>G7/4</f>
        <v>0.10344827586206896</v>
      </c>
      <c r="I8" s="21">
        <f>5*G9</f>
        <v>0.41379310344827586</v>
      </c>
    </row>
    <row r="9" spans="2:9" x14ac:dyDescent="0.25">
      <c r="B9" s="394" t="s">
        <v>45</v>
      </c>
      <c r="C9" s="394"/>
      <c r="F9" t="s">
        <v>2</v>
      </c>
      <c r="G9" s="23">
        <f>G7/5</f>
        <v>8.2758620689655171E-2</v>
      </c>
    </row>
    <row r="10" spans="2:9" x14ac:dyDescent="0.25">
      <c r="B10" s="30" t="s">
        <v>46</v>
      </c>
      <c r="C10" s="37">
        <f>C8*0.02</f>
        <v>0</v>
      </c>
      <c r="F10" s="32" t="s">
        <v>50</v>
      </c>
      <c r="G10" s="22">
        <f>SUM(G6:G9)</f>
        <v>1</v>
      </c>
    </row>
    <row r="11" spans="2:9" x14ac:dyDescent="0.25">
      <c r="B11" s="30" t="s">
        <v>47</v>
      </c>
      <c r="C11" s="37">
        <f>C8*0.03</f>
        <v>0</v>
      </c>
    </row>
    <row r="12" spans="2:9" ht="15.75" thickBot="1" x14ac:dyDescent="0.3"/>
    <row r="13" spans="2:9" ht="15.75" thickBot="1" x14ac:dyDescent="0.3">
      <c r="B13" s="31" t="s">
        <v>48</v>
      </c>
      <c r="C13" s="38">
        <f>C8*1.05</f>
        <v>0</v>
      </c>
      <c r="D13">
        <f>C8+C10+C11</f>
        <v>0</v>
      </c>
    </row>
    <row r="15" spans="2:9" x14ac:dyDescent="0.25">
      <c r="B15" t="s">
        <v>49</v>
      </c>
      <c r="C15" s="6">
        <f>C13*0.4</f>
        <v>0</v>
      </c>
    </row>
    <row r="16" spans="2:9" x14ac:dyDescent="0.25">
      <c r="B16" t="s">
        <v>51</v>
      </c>
      <c r="C16" s="6">
        <f>IF(C13*G7 &lt;=187500,C13*G7,187500)</f>
        <v>0</v>
      </c>
    </row>
    <row r="17" spans="2:7" x14ac:dyDescent="0.25">
      <c r="B17" t="s">
        <v>52</v>
      </c>
      <c r="C17" s="6">
        <f>IF(C13*G9 &lt;=37500,C13*G9,37500)</f>
        <v>0</v>
      </c>
    </row>
    <row r="18" spans="2:7" x14ac:dyDescent="0.25">
      <c r="B18" t="s">
        <v>53</v>
      </c>
      <c r="C18" s="6">
        <f>C13-C15-C16-C17</f>
        <v>0</v>
      </c>
      <c r="E18" s="21" t="e">
        <f>C18/C13</f>
        <v>#DIV/0!</v>
      </c>
    </row>
    <row r="19" spans="2:7" ht="15.75" thickBot="1" x14ac:dyDescent="0.3">
      <c r="E19" s="6">
        <f>C18-C11</f>
        <v>0</v>
      </c>
    </row>
    <row r="20" spans="2:7" ht="15.75" thickBot="1" x14ac:dyDescent="0.3">
      <c r="B20" s="31" t="s">
        <v>48</v>
      </c>
      <c r="C20" s="39">
        <f>SUM(C15:C18)</f>
        <v>0</v>
      </c>
      <c r="E20" s="9">
        <f>C11</f>
        <v>0</v>
      </c>
    </row>
    <row r="21" spans="2:7" x14ac:dyDescent="0.25">
      <c r="E21" t="s">
        <v>57</v>
      </c>
    </row>
    <row r="22" spans="2:7" x14ac:dyDescent="0.25">
      <c r="E22" t="s">
        <v>58</v>
      </c>
    </row>
    <row r="23" spans="2:7" x14ac:dyDescent="0.25">
      <c r="G23" s="6" t="e">
        <f>1/(45000/C13)</f>
        <v>#DIV/0!</v>
      </c>
    </row>
    <row r="24" spans="2:7" x14ac:dyDescent="0.25">
      <c r="E24" s="32" t="s">
        <v>59</v>
      </c>
    </row>
    <row r="35" spans="2:9" ht="15.75" thickBot="1" x14ac:dyDescent="0.3"/>
    <row r="36" spans="2:9" x14ac:dyDescent="0.25">
      <c r="B36" s="395" t="s">
        <v>94</v>
      </c>
      <c r="C36" s="396"/>
      <c r="D36" s="396"/>
      <c r="E36" s="396"/>
      <c r="F36" s="396"/>
      <c r="G36" s="396"/>
      <c r="H36" s="396"/>
      <c r="I36" s="397"/>
    </row>
    <row r="37" spans="2:9" ht="15.75" thickBot="1" x14ac:dyDescent="0.3">
      <c r="B37" s="398"/>
      <c r="C37" s="399"/>
      <c r="D37" s="399"/>
      <c r="E37" s="399"/>
      <c r="F37" s="399"/>
      <c r="G37" s="399"/>
      <c r="H37" s="399"/>
      <c r="I37" s="400"/>
    </row>
    <row r="38" spans="2:9" x14ac:dyDescent="0.25">
      <c r="B38" s="46"/>
      <c r="C38" s="46"/>
      <c r="D38" s="46"/>
      <c r="E38" s="46"/>
      <c r="F38" s="46"/>
      <c r="G38" s="46"/>
      <c r="H38" s="46"/>
      <c r="I38" s="46"/>
    </row>
    <row r="39" spans="2:9" ht="15.75" thickBot="1" x14ac:dyDescent="0.3">
      <c r="B39" s="386" t="s">
        <v>93</v>
      </c>
      <c r="C39" s="401" t="s">
        <v>95</v>
      </c>
      <c r="D39" s="402"/>
      <c r="E39" s="402"/>
      <c r="F39" s="403"/>
      <c r="G39" s="47"/>
      <c r="H39" s="48"/>
      <c r="I39" s="49"/>
    </row>
    <row r="40" spans="2:9" x14ac:dyDescent="0.25">
      <c r="B40" s="386"/>
      <c r="C40" s="388" t="s">
        <v>96</v>
      </c>
      <c r="D40" s="389"/>
      <c r="E40" s="388" t="s">
        <v>97</v>
      </c>
      <c r="F40" s="389"/>
      <c r="G40" s="390" t="s">
        <v>98</v>
      </c>
      <c r="H40" s="391"/>
      <c r="I40" s="54" t="s">
        <v>59</v>
      </c>
    </row>
    <row r="41" spans="2:9" ht="26.25" thickBot="1" x14ac:dyDescent="0.3">
      <c r="B41" s="55"/>
      <c r="C41" s="56" t="s">
        <v>103</v>
      </c>
      <c r="D41" s="56" t="s">
        <v>104</v>
      </c>
      <c r="E41" s="56" t="s">
        <v>103</v>
      </c>
      <c r="F41" s="56" t="s">
        <v>104</v>
      </c>
      <c r="G41" s="404" t="s">
        <v>99</v>
      </c>
      <c r="H41" s="405"/>
      <c r="I41" s="59" t="s">
        <v>100</v>
      </c>
    </row>
    <row r="42" spans="2:9" ht="15.75" thickBot="1" x14ac:dyDescent="0.3">
      <c r="B42" s="60" t="s">
        <v>101</v>
      </c>
      <c r="C42" s="61"/>
      <c r="D42" s="62"/>
      <c r="E42" s="61"/>
      <c r="F42" s="62"/>
      <c r="G42" s="406"/>
      <c r="H42" s="407"/>
      <c r="I42" s="65"/>
    </row>
    <row r="43" spans="2:9" x14ac:dyDescent="0.25">
      <c r="B43" s="66"/>
      <c r="C43" s="67"/>
      <c r="D43" s="68"/>
      <c r="E43" s="67"/>
      <c r="F43" s="68"/>
      <c r="G43" s="408"/>
      <c r="H43" s="409"/>
      <c r="I43" s="71"/>
    </row>
    <row r="44" spans="2:9" x14ac:dyDescent="0.25">
      <c r="B44" s="66"/>
      <c r="C44" s="67"/>
      <c r="D44" s="68"/>
      <c r="E44" s="67"/>
      <c r="F44" s="68"/>
      <c r="G44" s="378"/>
      <c r="H44" s="379"/>
      <c r="I44" s="71"/>
    </row>
    <row r="45" spans="2:9" x14ac:dyDescent="0.25">
      <c r="B45" s="66"/>
      <c r="C45" s="67"/>
      <c r="D45" s="68"/>
      <c r="E45" s="67"/>
      <c r="F45" s="68"/>
      <c r="G45" s="378"/>
      <c r="H45" s="379"/>
      <c r="I45" s="71"/>
    </row>
    <row r="46" spans="2:9" ht="15.75" thickBot="1" x14ac:dyDescent="0.3">
      <c r="B46" s="74"/>
      <c r="C46" s="75"/>
      <c r="D46" s="76"/>
      <c r="E46" s="75"/>
      <c r="F46" s="76"/>
      <c r="G46" s="392"/>
      <c r="H46" s="393"/>
      <c r="I46" s="79"/>
    </row>
    <row r="47" spans="2:9" ht="16.5" thickTop="1" thickBot="1" x14ac:dyDescent="0.3">
      <c r="B47" s="80" t="s">
        <v>102</v>
      </c>
      <c r="C47" s="81"/>
      <c r="D47" s="81"/>
      <c r="E47" s="81"/>
      <c r="F47" s="81"/>
      <c r="G47" s="384"/>
      <c r="H47" s="385"/>
      <c r="I47" s="115"/>
    </row>
    <row r="48" spans="2:9" x14ac:dyDescent="0.25">
      <c r="B48" s="84" t="s">
        <v>143</v>
      </c>
      <c r="C48" s="85" t="s">
        <v>143</v>
      </c>
      <c r="D48" s="86"/>
      <c r="E48" s="87"/>
      <c r="F48" s="87"/>
      <c r="G48" s="87"/>
      <c r="H48" s="87"/>
      <c r="I48" s="87"/>
    </row>
    <row r="49" spans="2:9" x14ac:dyDescent="0.25">
      <c r="D49" s="86"/>
      <c r="E49" s="87"/>
      <c r="F49" s="87"/>
      <c r="G49" s="87"/>
      <c r="H49" s="87"/>
      <c r="I49" s="87"/>
    </row>
    <row r="50" spans="2:9" ht="15" customHeight="1" thickBot="1" x14ac:dyDescent="0.3">
      <c r="B50" s="386" t="s">
        <v>105</v>
      </c>
      <c r="C50" s="387" t="s">
        <v>95</v>
      </c>
      <c r="D50" s="387"/>
      <c r="E50" s="387"/>
      <c r="F50" s="387"/>
      <c r="G50" s="88"/>
      <c r="H50" s="89"/>
      <c r="I50" s="90"/>
    </row>
    <row r="51" spans="2:9" ht="31.9" customHeight="1" x14ac:dyDescent="0.25">
      <c r="B51" s="386"/>
      <c r="C51" s="388" t="s">
        <v>96</v>
      </c>
      <c r="D51" s="389"/>
      <c r="E51" s="388" t="s">
        <v>97</v>
      </c>
      <c r="F51" s="389"/>
      <c r="G51" s="390" t="s">
        <v>98</v>
      </c>
      <c r="H51" s="391"/>
      <c r="I51" s="54" t="s">
        <v>59</v>
      </c>
    </row>
    <row r="52" spans="2:9" ht="15.75" thickBot="1" x14ac:dyDescent="0.3">
      <c r="B52" s="91"/>
      <c r="C52" s="56" t="s">
        <v>103</v>
      </c>
      <c r="D52" s="56" t="s">
        <v>104</v>
      </c>
      <c r="E52" s="56" t="s">
        <v>103</v>
      </c>
      <c r="F52" s="56" t="s">
        <v>104</v>
      </c>
      <c r="G52" s="376" t="s">
        <v>99</v>
      </c>
      <c r="H52" s="377"/>
      <c r="I52" s="94"/>
    </row>
    <row r="53" spans="2:9" x14ac:dyDescent="0.25">
      <c r="B53" s="95" t="s">
        <v>106</v>
      </c>
      <c r="C53" s="96"/>
      <c r="D53" s="68"/>
      <c r="E53" s="97"/>
      <c r="F53" s="68"/>
      <c r="G53" s="378"/>
      <c r="H53" s="379"/>
      <c r="I53" s="98"/>
    </row>
    <row r="54" spans="2:9" x14ac:dyDescent="0.25">
      <c r="B54" s="95" t="s">
        <v>2</v>
      </c>
      <c r="C54" s="99"/>
      <c r="D54" s="68"/>
      <c r="E54" s="97"/>
      <c r="F54" s="68"/>
      <c r="G54" s="380"/>
      <c r="H54" s="381"/>
      <c r="I54" s="98"/>
    </row>
    <row r="55" spans="2:9" ht="15.75" thickBot="1" x14ac:dyDescent="0.3">
      <c r="B55" s="116" t="s">
        <v>66</v>
      </c>
      <c r="C55" s="117"/>
      <c r="D55" s="118"/>
      <c r="E55" s="119"/>
      <c r="F55" s="118"/>
      <c r="G55" s="113"/>
      <c r="H55" s="114"/>
      <c r="I55" s="120"/>
    </row>
    <row r="56" spans="2:9" ht="16.5" thickTop="1" thickBot="1" x14ac:dyDescent="0.3">
      <c r="B56" s="102">
        <v>0</v>
      </c>
      <c r="C56" s="103"/>
      <c r="D56" s="104"/>
      <c r="E56" s="105"/>
      <c r="F56" s="104"/>
      <c r="G56" s="382"/>
      <c r="H56" s="383"/>
      <c r="I56" s="108"/>
    </row>
  </sheetData>
  <mergeCells count="23">
    <mergeCell ref="G46:H46"/>
    <mergeCell ref="B9:C9"/>
    <mergeCell ref="B36:I37"/>
    <mergeCell ref="B39:B40"/>
    <mergeCell ref="C39:F39"/>
    <mergeCell ref="C40:D40"/>
    <mergeCell ref="E40:F40"/>
    <mergeCell ref="G40:H40"/>
    <mergeCell ref="G41:H41"/>
    <mergeCell ref="G42:H42"/>
    <mergeCell ref="G43:H43"/>
    <mergeCell ref="G44:H44"/>
    <mergeCell ref="G45:H45"/>
    <mergeCell ref="B50:B51"/>
    <mergeCell ref="C50:F50"/>
    <mergeCell ref="C51:D51"/>
    <mergeCell ref="E51:F51"/>
    <mergeCell ref="G51:H51"/>
    <mergeCell ref="G52:H52"/>
    <mergeCell ref="G53:H53"/>
    <mergeCell ref="G54:H54"/>
    <mergeCell ref="G56:H56"/>
    <mergeCell ref="G47:H47"/>
  </mergeCells>
  <conditionalFormatting sqref="C13">
    <cfRule type="cellIs" dxfId="107" priority="10" operator="equal">
      <formula>157.5</formula>
    </cfRule>
  </conditionalFormatting>
  <conditionalFormatting sqref="C20">
    <cfRule type="cellIs" dxfId="106" priority="9" operator="equal">
      <formula>$C$13</formula>
    </cfRule>
  </conditionalFormatting>
  <conditionalFormatting sqref="D13">
    <cfRule type="cellIs" dxfId="105" priority="8" operator="equal">
      <formula>$C$13</formula>
    </cfRule>
  </conditionalFormatting>
  <conditionalFormatting sqref="B43:B44">
    <cfRule type="containsText" dxfId="104" priority="6" operator="containsText" text="Aucun">
      <formula>NOT(ISERROR(SEARCH("Aucun",B43)))</formula>
    </cfRule>
    <cfRule type="containsText" dxfId="103" priority="7" operator="containsText" text="Nom industriel">
      <formula>NOT(ISERROR(SEARCH("Nom industriel",B43)))</formula>
    </cfRule>
  </conditionalFormatting>
  <conditionalFormatting sqref="B48">
    <cfRule type="expression" dxfId="102" priority="5">
      <formula>$D$19=Mitacs</formula>
    </cfRule>
  </conditionalFormatting>
  <conditionalFormatting sqref="C48">
    <cfRule type="expression" dxfId="101" priority="4">
      <formula>$D$19=Mitacs</formula>
    </cfRule>
  </conditionalFormatting>
  <conditionalFormatting sqref="B45:B46">
    <cfRule type="containsText" dxfId="100" priority="2" operator="containsText" text="Aucun">
      <formula>NOT(ISERROR(SEARCH("Aucun",B45)))</formula>
    </cfRule>
    <cfRule type="containsText" dxfId="99" priority="3" operator="containsText" text="Nom industriel">
      <formula>NOT(ISERROR(SEARCH("Nom industriel",B45)))</formula>
    </cfRule>
  </conditionalFormatting>
  <conditionalFormatting sqref="C54:C55">
    <cfRule type="containsText" dxfId="98" priority="1" operator="containsText" text="inscrivez">
      <formula>NOT(ISERROR(SEARCH("inscrivez",C54)))</formula>
    </cfRule>
  </conditionalFormatting>
  <pageMargins left="0.7" right="0.7" top="0.75" bottom="0.75" header="0.3" footer="0.3"/>
  <pageSetup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6:I58"/>
  <sheetViews>
    <sheetView topLeftCell="A43" workbookViewId="0">
      <selection activeCell="B16" sqref="B16:I16"/>
    </sheetView>
  </sheetViews>
  <sheetFormatPr baseColWidth="10" defaultColWidth="9.140625" defaultRowHeight="15" x14ac:dyDescent="0.25"/>
  <cols>
    <col min="2" max="2" width="24.140625" customWidth="1"/>
    <col min="3" max="3" width="22" customWidth="1"/>
    <col min="6" max="6" width="11.28515625" customWidth="1"/>
    <col min="7" max="7" width="10.7109375" customWidth="1"/>
  </cols>
  <sheetData>
    <row r="6" spans="2:7" x14ac:dyDescent="0.25">
      <c r="F6" t="s">
        <v>41</v>
      </c>
      <c r="G6" s="24">
        <v>0.2</v>
      </c>
    </row>
    <row r="7" spans="2:7" ht="15.75" thickBot="1" x14ac:dyDescent="0.3">
      <c r="F7" t="s">
        <v>42</v>
      </c>
      <c r="G7" s="23" t="e">
        <f>(80%-G8)/1.45</f>
        <v>#DIV/0!</v>
      </c>
    </row>
    <row r="8" spans="2:7" ht="15.75" thickBot="1" x14ac:dyDescent="0.3">
      <c r="B8" s="28" t="s">
        <v>142</v>
      </c>
      <c r="C8" s="28">
        <f>'Budget de projet'!G51</f>
        <v>0</v>
      </c>
      <c r="D8" s="21" t="e">
        <f>C8/C14</f>
        <v>#DIV/0!</v>
      </c>
      <c r="F8" t="s">
        <v>141</v>
      </c>
      <c r="G8" s="21" t="e">
        <f>'Budget de projet'!G51/'Budget de projet'!G53</f>
        <v>#DIV/0!</v>
      </c>
    </row>
    <row r="9" spans="2:7" ht="15.75" thickBot="1" x14ac:dyDescent="0.3">
      <c r="B9" s="29" t="s">
        <v>44</v>
      </c>
      <c r="C9" s="36">
        <f>'Budget de projet'!G53</f>
        <v>0</v>
      </c>
      <c r="F9" t="s">
        <v>43</v>
      </c>
      <c r="G9" s="23" t="e">
        <f>G7/4</f>
        <v>#DIV/0!</v>
      </c>
    </row>
    <row r="10" spans="2:7" x14ac:dyDescent="0.25">
      <c r="B10" s="394" t="s">
        <v>45</v>
      </c>
      <c r="C10" s="394"/>
      <c r="F10" t="s">
        <v>2</v>
      </c>
      <c r="G10" s="23" t="e">
        <f>G7/5</f>
        <v>#DIV/0!</v>
      </c>
    </row>
    <row r="11" spans="2:7" x14ac:dyDescent="0.25">
      <c r="B11" s="30" t="s">
        <v>46</v>
      </c>
      <c r="C11" s="37">
        <f>C9*0.02</f>
        <v>0</v>
      </c>
      <c r="F11" s="32" t="s">
        <v>50</v>
      </c>
      <c r="G11" s="22" t="e">
        <f>SUM(G6:G10)</f>
        <v>#DIV/0!</v>
      </c>
    </row>
    <row r="12" spans="2:7" x14ac:dyDescent="0.25">
      <c r="B12" s="30" t="s">
        <v>47</v>
      </c>
      <c r="C12" s="37">
        <f>C9*0.03</f>
        <v>0</v>
      </c>
    </row>
    <row r="13" spans="2:7" ht="15.75" thickBot="1" x14ac:dyDescent="0.3"/>
    <row r="14" spans="2:7" ht="15.75" thickBot="1" x14ac:dyDescent="0.3">
      <c r="B14" s="31" t="s">
        <v>48</v>
      </c>
      <c r="C14" s="38">
        <f>C9</f>
        <v>0</v>
      </c>
    </row>
    <row r="15" spans="2:7" x14ac:dyDescent="0.25">
      <c r="C15" s="6"/>
    </row>
    <row r="16" spans="2:7" x14ac:dyDescent="0.25">
      <c r="B16" t="s">
        <v>56</v>
      </c>
      <c r="C16" s="6">
        <f>C14*0.2</f>
        <v>0</v>
      </c>
      <c r="D16" s="144" t="e">
        <f>C16/C14</f>
        <v>#DIV/0!</v>
      </c>
    </row>
    <row r="17" spans="2:6" x14ac:dyDescent="0.25">
      <c r="B17" t="s">
        <v>51</v>
      </c>
      <c r="C17" s="6" t="e">
        <f>IF(C14*G7 &lt;=187500,C14*G7,187500)</f>
        <v>#DIV/0!</v>
      </c>
      <c r="D17" s="144" t="e">
        <f>C17/C14</f>
        <v>#DIV/0!</v>
      </c>
    </row>
    <row r="18" spans="2:6" x14ac:dyDescent="0.25">
      <c r="B18" t="s">
        <v>52</v>
      </c>
      <c r="C18" s="6" t="e">
        <f>IF(C14*G10 &lt;=37500,C14*G10,37500)</f>
        <v>#DIV/0!</v>
      </c>
      <c r="D18" s="144" t="e">
        <f>C18/C14</f>
        <v>#DIV/0!</v>
      </c>
    </row>
    <row r="19" spans="2:6" x14ac:dyDescent="0.25">
      <c r="B19" t="s">
        <v>54</v>
      </c>
      <c r="C19" s="6" t="e">
        <f>C14-C16-C17-C18-C8</f>
        <v>#DIV/0!</v>
      </c>
      <c r="D19" s="144" t="e">
        <f>C19/C14</f>
        <v>#DIV/0!</v>
      </c>
    </row>
    <row r="20" spans="2:6" x14ac:dyDescent="0.25">
      <c r="C20" s="6"/>
      <c r="E20" s="33"/>
      <c r="F20">
        <f>0.2*C14</f>
        <v>0</v>
      </c>
    </row>
    <row r="21" spans="2:6" ht="15.75" thickBot="1" x14ac:dyDescent="0.3">
      <c r="C21" s="6"/>
      <c r="E21" s="33"/>
    </row>
    <row r="22" spans="2:6" ht="15.75" thickBot="1" x14ac:dyDescent="0.3">
      <c r="B22" s="31" t="s">
        <v>48</v>
      </c>
      <c r="C22" s="39" t="e">
        <f>SUM(C16:C19)</f>
        <v>#DIV/0!</v>
      </c>
      <c r="D22" s="8" t="e">
        <f>SUM(D8:D19)</f>
        <v>#DIV/0!</v>
      </c>
    </row>
    <row r="37" spans="2:9" ht="15.75" thickBot="1" x14ac:dyDescent="0.3"/>
    <row r="38" spans="2:9" x14ac:dyDescent="0.25">
      <c r="B38" s="395" t="s">
        <v>94</v>
      </c>
      <c r="C38" s="396"/>
      <c r="D38" s="396"/>
      <c r="E38" s="396"/>
      <c r="F38" s="396"/>
      <c r="G38" s="396"/>
      <c r="H38" s="396"/>
      <c r="I38" s="397"/>
    </row>
    <row r="39" spans="2:9" ht="15.75" thickBot="1" x14ac:dyDescent="0.3">
      <c r="B39" s="398"/>
      <c r="C39" s="399"/>
      <c r="D39" s="399"/>
      <c r="E39" s="399"/>
      <c r="F39" s="399"/>
      <c r="G39" s="399"/>
      <c r="H39" s="399"/>
      <c r="I39" s="400"/>
    </row>
    <row r="40" spans="2:9" x14ac:dyDescent="0.25">
      <c r="B40" s="46"/>
      <c r="C40" s="46"/>
      <c r="D40" s="46"/>
      <c r="E40" s="46"/>
      <c r="F40" s="46"/>
      <c r="G40" s="46"/>
      <c r="H40" s="46"/>
      <c r="I40" s="46"/>
    </row>
    <row r="41" spans="2:9" ht="15.75" thickBot="1" x14ac:dyDescent="0.3">
      <c r="B41" s="386" t="s">
        <v>93</v>
      </c>
      <c r="C41" s="401" t="s">
        <v>95</v>
      </c>
      <c r="D41" s="402"/>
      <c r="E41" s="402"/>
      <c r="F41" s="403"/>
      <c r="G41" s="47"/>
      <c r="H41" s="48"/>
      <c r="I41" s="49"/>
    </row>
    <row r="42" spans="2:9" x14ac:dyDescent="0.25">
      <c r="B42" s="386"/>
      <c r="C42" s="388" t="s">
        <v>96</v>
      </c>
      <c r="D42" s="389"/>
      <c r="E42" s="388" t="s">
        <v>97</v>
      </c>
      <c r="F42" s="389"/>
      <c r="G42" s="390" t="s">
        <v>98</v>
      </c>
      <c r="H42" s="391"/>
      <c r="I42" s="54" t="s">
        <v>59</v>
      </c>
    </row>
    <row r="43" spans="2:9" ht="26.25" thickBot="1" x14ac:dyDescent="0.3">
      <c r="B43" s="55"/>
      <c r="C43" s="56" t="s">
        <v>103</v>
      </c>
      <c r="D43" s="56" t="s">
        <v>104</v>
      </c>
      <c r="E43" s="56" t="s">
        <v>103</v>
      </c>
      <c r="F43" s="56" t="s">
        <v>104</v>
      </c>
      <c r="G43" s="404" t="s">
        <v>99</v>
      </c>
      <c r="H43" s="405"/>
      <c r="I43" s="59" t="s">
        <v>100</v>
      </c>
    </row>
    <row r="44" spans="2:9" ht="26.25" thickBot="1" x14ac:dyDescent="0.3">
      <c r="B44" s="60" t="s">
        <v>101</v>
      </c>
      <c r="C44" s="61"/>
      <c r="D44" s="62"/>
      <c r="E44" s="61"/>
      <c r="F44" s="62"/>
      <c r="G44" s="406"/>
      <c r="H44" s="407"/>
      <c r="I44" s="65"/>
    </row>
    <row r="45" spans="2:9" x14ac:dyDescent="0.25">
      <c r="B45" s="66"/>
      <c r="C45" s="67"/>
      <c r="D45" s="68"/>
      <c r="E45" s="67"/>
      <c r="F45" s="68"/>
      <c r="G45" s="408"/>
      <c r="H45" s="409"/>
      <c r="I45" s="71"/>
    </row>
    <row r="46" spans="2:9" x14ac:dyDescent="0.25">
      <c r="B46" s="66"/>
      <c r="C46" s="67"/>
      <c r="D46" s="68"/>
      <c r="E46" s="67"/>
      <c r="F46" s="68"/>
      <c r="G46" s="378"/>
      <c r="H46" s="379"/>
      <c r="I46" s="71"/>
    </row>
    <row r="47" spans="2:9" x14ac:dyDescent="0.25">
      <c r="B47" s="66"/>
      <c r="C47" s="67"/>
      <c r="D47" s="68"/>
      <c r="E47" s="67"/>
      <c r="F47" s="68"/>
      <c r="G47" s="378"/>
      <c r="H47" s="379"/>
      <c r="I47" s="71"/>
    </row>
    <row r="48" spans="2:9" ht="15.75" thickBot="1" x14ac:dyDescent="0.3">
      <c r="B48" s="74"/>
      <c r="C48" s="75"/>
      <c r="D48" s="76"/>
      <c r="E48" s="75"/>
      <c r="F48" s="76"/>
      <c r="G48" s="392"/>
      <c r="H48" s="393"/>
      <c r="I48" s="79"/>
    </row>
    <row r="49" spans="2:9" ht="16.5" thickTop="1" thickBot="1" x14ac:dyDescent="0.3">
      <c r="B49" s="80" t="s">
        <v>102</v>
      </c>
      <c r="C49" s="81"/>
      <c r="D49" s="81"/>
      <c r="E49" s="81"/>
      <c r="F49" s="81"/>
      <c r="G49" s="384"/>
      <c r="H49" s="385"/>
      <c r="I49" s="115"/>
    </row>
    <row r="50" spans="2:9" x14ac:dyDescent="0.25">
      <c r="B50" s="84" t="s">
        <v>143</v>
      </c>
      <c r="C50" s="85" t="s">
        <v>143</v>
      </c>
      <c r="D50" s="86"/>
      <c r="E50" s="87"/>
      <c r="F50" s="87"/>
      <c r="G50" s="87"/>
      <c r="H50" s="87"/>
      <c r="I50" s="87"/>
    </row>
    <row r="51" spans="2:9" x14ac:dyDescent="0.25">
      <c r="D51" s="86"/>
      <c r="E51" s="87"/>
      <c r="F51" s="87"/>
      <c r="G51" s="87"/>
      <c r="H51" s="87"/>
      <c r="I51" s="87"/>
    </row>
    <row r="52" spans="2:9" ht="15.75" thickBot="1" x14ac:dyDescent="0.3">
      <c r="B52" s="386" t="s">
        <v>105</v>
      </c>
      <c r="C52" s="387" t="s">
        <v>95</v>
      </c>
      <c r="D52" s="387"/>
      <c r="E52" s="387"/>
      <c r="F52" s="387"/>
      <c r="G52" s="88"/>
      <c r="H52" s="89"/>
      <c r="I52" s="90"/>
    </row>
    <row r="53" spans="2:9" x14ac:dyDescent="0.25">
      <c r="B53" s="386"/>
      <c r="C53" s="388" t="s">
        <v>96</v>
      </c>
      <c r="D53" s="389"/>
      <c r="E53" s="388" t="s">
        <v>97</v>
      </c>
      <c r="F53" s="389"/>
      <c r="G53" s="390" t="s">
        <v>98</v>
      </c>
      <c r="H53" s="391"/>
      <c r="I53" s="54" t="s">
        <v>59</v>
      </c>
    </row>
    <row r="54" spans="2:9" ht="15.75" thickBot="1" x14ac:dyDescent="0.3">
      <c r="B54" s="91"/>
      <c r="C54" s="56" t="s">
        <v>103</v>
      </c>
      <c r="D54" s="56" t="s">
        <v>104</v>
      </c>
      <c r="E54" s="56" t="s">
        <v>103</v>
      </c>
      <c r="F54" s="56" t="s">
        <v>104</v>
      </c>
      <c r="G54" s="376" t="s">
        <v>99</v>
      </c>
      <c r="H54" s="377"/>
      <c r="I54" s="94"/>
    </row>
    <row r="55" spans="2:9" x14ac:dyDescent="0.25">
      <c r="B55" s="95" t="s">
        <v>106</v>
      </c>
      <c r="C55" s="96"/>
      <c r="D55" s="68"/>
      <c r="E55" s="97"/>
      <c r="F55" s="68"/>
      <c r="G55" s="378"/>
      <c r="H55" s="379"/>
      <c r="I55" s="98"/>
    </row>
    <row r="56" spans="2:9" x14ac:dyDescent="0.25">
      <c r="B56" s="95" t="s">
        <v>2</v>
      </c>
      <c r="C56" s="99"/>
      <c r="D56" s="68"/>
      <c r="E56" s="97"/>
      <c r="F56" s="68"/>
      <c r="G56" s="380"/>
      <c r="H56" s="381"/>
      <c r="I56" s="98"/>
    </row>
    <row r="57" spans="2:9" ht="15.75" thickBot="1" x14ac:dyDescent="0.3">
      <c r="B57" s="116" t="s">
        <v>66</v>
      </c>
      <c r="C57" s="117"/>
      <c r="D57" s="118"/>
      <c r="E57" s="119"/>
      <c r="F57" s="118"/>
      <c r="G57" s="113"/>
      <c r="H57" s="114"/>
      <c r="I57" s="120"/>
    </row>
    <row r="58" spans="2:9" ht="16.5" thickTop="1" thickBot="1" x14ac:dyDescent="0.3">
      <c r="B58" s="102">
        <v>0</v>
      </c>
      <c r="C58" s="103"/>
      <c r="D58" s="104"/>
      <c r="E58" s="105"/>
      <c r="F58" s="104"/>
      <c r="G58" s="382"/>
      <c r="H58" s="383"/>
      <c r="I58" s="108"/>
    </row>
  </sheetData>
  <mergeCells count="23">
    <mergeCell ref="G48:H48"/>
    <mergeCell ref="B10:C10"/>
    <mergeCell ref="B38:I39"/>
    <mergeCell ref="B41:B42"/>
    <mergeCell ref="C41:F41"/>
    <mergeCell ref="C42:D42"/>
    <mergeCell ref="E42:F42"/>
    <mergeCell ref="G42:H42"/>
    <mergeCell ref="G43:H43"/>
    <mergeCell ref="G44:H44"/>
    <mergeCell ref="G45:H45"/>
    <mergeCell ref="G46:H46"/>
    <mergeCell ref="G47:H47"/>
    <mergeCell ref="B52:B53"/>
    <mergeCell ref="C52:F52"/>
    <mergeCell ref="C53:D53"/>
    <mergeCell ref="E53:F53"/>
    <mergeCell ref="G53:H53"/>
    <mergeCell ref="G54:H54"/>
    <mergeCell ref="G55:H55"/>
    <mergeCell ref="G56:H56"/>
    <mergeCell ref="G58:H58"/>
    <mergeCell ref="G49:H49"/>
  </mergeCells>
  <conditionalFormatting sqref="C14">
    <cfRule type="cellIs" dxfId="97" priority="9" operator="equal">
      <formula>$C$9+$C$11+$C$12</formula>
    </cfRule>
    <cfRule type="cellIs" dxfId="96" priority="12" operator="equal">
      <formula>157.5</formula>
    </cfRule>
  </conditionalFormatting>
  <conditionalFormatting sqref="C22">
    <cfRule type="cellIs" dxfId="95" priority="11" operator="equal">
      <formula>$C$14</formula>
    </cfRule>
  </conditionalFormatting>
  <conditionalFormatting sqref="D14">
    <cfRule type="cellIs" dxfId="94" priority="10" operator="equal">
      <formula>$C$14</formula>
    </cfRule>
  </conditionalFormatting>
  <conditionalFormatting sqref="B45:B46">
    <cfRule type="containsText" dxfId="93" priority="7" operator="containsText" text="Aucun">
      <formula>NOT(ISERROR(SEARCH("Aucun",B45)))</formula>
    </cfRule>
    <cfRule type="containsText" dxfId="92" priority="8" operator="containsText" text="Nom industriel">
      <formula>NOT(ISERROR(SEARCH("Nom industriel",B45)))</formula>
    </cfRule>
  </conditionalFormatting>
  <conditionalFormatting sqref="B50">
    <cfRule type="expression" dxfId="91" priority="6">
      <formula>$D$20=Mitacs</formula>
    </cfRule>
  </conditionalFormatting>
  <conditionalFormatting sqref="C50">
    <cfRule type="expression" dxfId="90" priority="5">
      <formula>$D$20=Mitacs</formula>
    </cfRule>
  </conditionalFormatting>
  <conditionalFormatting sqref="B47:B48">
    <cfRule type="containsText" dxfId="89" priority="3" operator="containsText" text="Aucun">
      <formula>NOT(ISERROR(SEARCH("Aucun",B47)))</formula>
    </cfRule>
    <cfRule type="containsText" dxfId="88" priority="4" operator="containsText" text="Nom industriel">
      <formula>NOT(ISERROR(SEARCH("Nom industriel",B47)))</formula>
    </cfRule>
  </conditionalFormatting>
  <conditionalFormatting sqref="C56:C57">
    <cfRule type="containsText" dxfId="87" priority="2" operator="containsText" text="inscrivez">
      <formula>NOT(ISERROR(SEARCH("inscrivez",C56)))</formula>
    </cfRule>
  </conditionalFormatting>
  <conditionalFormatting sqref="C19">
    <cfRule type="cellIs" dxfId="86" priority="50" operator="equal">
      <formula>$C$14*$G$9</formula>
    </cfRule>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6:I56"/>
  <sheetViews>
    <sheetView topLeftCell="A4" workbookViewId="0">
      <selection activeCell="B16" sqref="B16:I16"/>
    </sheetView>
  </sheetViews>
  <sheetFormatPr baseColWidth="10" defaultColWidth="9.140625" defaultRowHeight="15" x14ac:dyDescent="0.25"/>
  <cols>
    <col min="2" max="2" width="23.28515625" customWidth="1"/>
    <col min="3" max="3" width="22.42578125" customWidth="1"/>
  </cols>
  <sheetData>
    <row r="6" spans="2:7" ht="15.75" thickBot="1" x14ac:dyDescent="0.3">
      <c r="F6" t="s">
        <v>41</v>
      </c>
      <c r="G6" s="24">
        <v>0.4</v>
      </c>
    </row>
    <row r="7" spans="2:7" ht="15.75" thickBot="1" x14ac:dyDescent="0.3">
      <c r="B7" s="28" t="s">
        <v>142</v>
      </c>
      <c r="C7" s="34">
        <v>0</v>
      </c>
      <c r="F7" t="s">
        <v>42</v>
      </c>
      <c r="G7" s="23">
        <f>40/145</f>
        <v>0.27586206896551724</v>
      </c>
    </row>
    <row r="8" spans="2:7" ht="15.75" thickBot="1" x14ac:dyDescent="0.3">
      <c r="B8" s="29" t="s">
        <v>44</v>
      </c>
      <c r="C8" s="139">
        <f>'Budget de projet'!G43</f>
        <v>0</v>
      </c>
      <c r="F8" t="s">
        <v>43</v>
      </c>
      <c r="G8" s="23">
        <f>G7/4</f>
        <v>6.8965517241379309E-2</v>
      </c>
    </row>
    <row r="9" spans="2:7" x14ac:dyDescent="0.25">
      <c r="B9" s="394" t="s">
        <v>45</v>
      </c>
      <c r="C9" s="394"/>
      <c r="F9" t="s">
        <v>2</v>
      </c>
      <c r="G9" s="23">
        <f>G7/5</f>
        <v>5.5172413793103448E-2</v>
      </c>
    </row>
    <row r="10" spans="2:7" x14ac:dyDescent="0.25">
      <c r="B10" s="30" t="s">
        <v>46</v>
      </c>
      <c r="C10" s="37">
        <f>C8*0.02</f>
        <v>0</v>
      </c>
      <c r="F10" t="s">
        <v>55</v>
      </c>
      <c r="G10" s="21">
        <v>0.2</v>
      </c>
    </row>
    <row r="11" spans="2:7" x14ac:dyDescent="0.25">
      <c r="B11" s="30" t="s">
        <v>47</v>
      </c>
      <c r="C11" s="37">
        <f>C8*0.03</f>
        <v>0</v>
      </c>
      <c r="F11" s="32" t="s">
        <v>50</v>
      </c>
      <c r="G11" s="22">
        <f>SUM(G6:G10)</f>
        <v>1</v>
      </c>
    </row>
    <row r="12" spans="2:7" ht="15.75" thickBot="1" x14ac:dyDescent="0.3">
      <c r="C12" s="6"/>
    </row>
    <row r="13" spans="2:7" ht="15.75" thickBot="1" x14ac:dyDescent="0.3">
      <c r="B13" s="31" t="s">
        <v>48</v>
      </c>
      <c r="C13" s="38">
        <f>'Budget de projet'!G53</f>
        <v>0</v>
      </c>
    </row>
    <row r="14" spans="2:7" x14ac:dyDescent="0.25">
      <c r="C14" s="6"/>
    </row>
    <row r="15" spans="2:7" x14ac:dyDescent="0.25">
      <c r="B15" t="s">
        <v>49</v>
      </c>
      <c r="C15" s="6">
        <f>C13*0.4</f>
        <v>0</v>
      </c>
    </row>
    <row r="16" spans="2:7" x14ac:dyDescent="0.25">
      <c r="B16" t="s">
        <v>51</v>
      </c>
      <c r="C16" s="6">
        <f>IF(C13*G7 &lt;=187500,C13*G7,187500)</f>
        <v>0</v>
      </c>
    </row>
    <row r="17" spans="2:3" x14ac:dyDescent="0.25">
      <c r="B17" t="s">
        <v>52</v>
      </c>
      <c r="C17" s="6">
        <f>IF(C13*G9 &lt;=37500,C13*G9,37500)</f>
        <v>0</v>
      </c>
    </row>
    <row r="18" spans="2:3" x14ac:dyDescent="0.25">
      <c r="B18" t="s">
        <v>55</v>
      </c>
      <c r="C18" s="6">
        <f>0.2*C13</f>
        <v>0</v>
      </c>
    </row>
    <row r="19" spans="2:3" x14ac:dyDescent="0.25">
      <c r="B19" t="s">
        <v>54</v>
      </c>
      <c r="C19" s="6">
        <f>C13-C15-C16-C17-C18</f>
        <v>0</v>
      </c>
    </row>
    <row r="20" spans="2:3" ht="15.75" thickBot="1" x14ac:dyDescent="0.3">
      <c r="C20" s="6"/>
    </row>
    <row r="21" spans="2:3" ht="15.75" thickBot="1" x14ac:dyDescent="0.3">
      <c r="B21" s="31" t="s">
        <v>48</v>
      </c>
      <c r="C21" s="39">
        <f>SUM(C15:C19)</f>
        <v>0</v>
      </c>
    </row>
    <row r="35" spans="2:9" ht="15.75" thickBot="1" x14ac:dyDescent="0.3"/>
    <row r="36" spans="2:9" x14ac:dyDescent="0.25">
      <c r="B36" s="395" t="s">
        <v>94</v>
      </c>
      <c r="C36" s="396"/>
      <c r="D36" s="396"/>
      <c r="E36" s="396"/>
      <c r="F36" s="396"/>
      <c r="G36" s="396"/>
      <c r="H36" s="396"/>
      <c r="I36" s="397"/>
    </row>
    <row r="37" spans="2:9" ht="15.75" thickBot="1" x14ac:dyDescent="0.3">
      <c r="B37" s="398"/>
      <c r="C37" s="399"/>
      <c r="D37" s="399"/>
      <c r="E37" s="399"/>
      <c r="F37" s="399"/>
      <c r="G37" s="399"/>
      <c r="H37" s="399"/>
      <c r="I37" s="400"/>
    </row>
    <row r="38" spans="2:9" x14ac:dyDescent="0.25">
      <c r="B38" s="46"/>
      <c r="C38" s="46"/>
      <c r="D38" s="46"/>
      <c r="E38" s="46"/>
      <c r="F38" s="46"/>
      <c r="G38" s="46"/>
      <c r="H38" s="46"/>
      <c r="I38" s="46"/>
    </row>
    <row r="39" spans="2:9" ht="15.75" thickBot="1" x14ac:dyDescent="0.3">
      <c r="B39" s="386" t="s">
        <v>93</v>
      </c>
      <c r="C39" s="401" t="s">
        <v>95</v>
      </c>
      <c r="D39" s="402"/>
      <c r="E39" s="402"/>
      <c r="F39" s="403"/>
      <c r="G39" s="47"/>
      <c r="H39" s="48"/>
      <c r="I39" s="49"/>
    </row>
    <row r="40" spans="2:9" x14ac:dyDescent="0.25">
      <c r="B40" s="386"/>
      <c r="C40" s="388" t="s">
        <v>96</v>
      </c>
      <c r="D40" s="389"/>
      <c r="E40" s="388" t="s">
        <v>97</v>
      </c>
      <c r="F40" s="389"/>
      <c r="G40" s="390" t="s">
        <v>98</v>
      </c>
      <c r="H40" s="391"/>
      <c r="I40" s="54" t="s">
        <v>59</v>
      </c>
    </row>
    <row r="41" spans="2:9" ht="26.25" thickBot="1" x14ac:dyDescent="0.3">
      <c r="B41" s="55"/>
      <c r="C41" s="56" t="s">
        <v>103</v>
      </c>
      <c r="D41" s="56" t="s">
        <v>104</v>
      </c>
      <c r="E41" s="56" t="s">
        <v>103</v>
      </c>
      <c r="F41" s="56" t="s">
        <v>104</v>
      </c>
      <c r="G41" s="404" t="s">
        <v>99</v>
      </c>
      <c r="H41" s="405"/>
      <c r="I41" s="59" t="s">
        <v>100</v>
      </c>
    </row>
    <row r="42" spans="2:9" ht="26.25" thickBot="1" x14ac:dyDescent="0.3">
      <c r="B42" s="60" t="s">
        <v>101</v>
      </c>
      <c r="C42" s="61"/>
      <c r="D42" s="62"/>
      <c r="E42" s="61"/>
      <c r="F42" s="62"/>
      <c r="G42" s="406"/>
      <c r="H42" s="407"/>
      <c r="I42" s="65"/>
    </row>
    <row r="43" spans="2:9" x14ac:dyDescent="0.25">
      <c r="B43" s="66"/>
      <c r="C43" s="67"/>
      <c r="D43" s="68"/>
      <c r="E43" s="67"/>
      <c r="F43" s="68"/>
      <c r="G43" s="408"/>
      <c r="H43" s="409"/>
      <c r="I43" s="71"/>
    </row>
    <row r="44" spans="2:9" x14ac:dyDescent="0.25">
      <c r="B44" s="66"/>
      <c r="C44" s="67"/>
      <c r="D44" s="68"/>
      <c r="E44" s="67"/>
      <c r="F44" s="68"/>
      <c r="G44" s="378"/>
      <c r="H44" s="379"/>
      <c r="I44" s="71"/>
    </row>
    <row r="45" spans="2:9" x14ac:dyDescent="0.25">
      <c r="B45" s="66"/>
      <c r="C45" s="67"/>
      <c r="D45" s="68"/>
      <c r="E45" s="67"/>
      <c r="F45" s="68"/>
      <c r="G45" s="378"/>
      <c r="H45" s="379"/>
      <c r="I45" s="71"/>
    </row>
    <row r="46" spans="2:9" ht="15.75" thickBot="1" x14ac:dyDescent="0.3">
      <c r="B46" s="74"/>
      <c r="C46" s="75"/>
      <c r="D46" s="76"/>
      <c r="E46" s="75"/>
      <c r="F46" s="76"/>
      <c r="G46" s="392"/>
      <c r="H46" s="393"/>
      <c r="I46" s="79"/>
    </row>
    <row r="47" spans="2:9" ht="16.5" thickTop="1" thickBot="1" x14ac:dyDescent="0.3">
      <c r="B47" s="80" t="s">
        <v>102</v>
      </c>
      <c r="C47" s="81"/>
      <c r="D47" s="81"/>
      <c r="E47" s="81"/>
      <c r="F47" s="81"/>
      <c r="G47" s="384"/>
      <c r="H47" s="385"/>
      <c r="I47" s="115"/>
    </row>
    <row r="48" spans="2:9" x14ac:dyDescent="0.25">
      <c r="B48" s="84" t="s">
        <v>143</v>
      </c>
      <c r="C48" s="85" t="s">
        <v>143</v>
      </c>
      <c r="D48" s="86"/>
      <c r="E48" s="87"/>
      <c r="F48" s="87"/>
      <c r="G48" s="87"/>
      <c r="H48" s="87"/>
      <c r="I48" s="87"/>
    </row>
    <row r="49" spans="2:9" x14ac:dyDescent="0.25">
      <c r="D49" s="86"/>
      <c r="E49" s="87"/>
      <c r="F49" s="87"/>
      <c r="G49" s="87"/>
      <c r="H49" s="87"/>
      <c r="I49" s="87"/>
    </row>
    <row r="50" spans="2:9" ht="15.75" thickBot="1" x14ac:dyDescent="0.3">
      <c r="B50" s="386" t="s">
        <v>105</v>
      </c>
      <c r="C50" s="387" t="s">
        <v>95</v>
      </c>
      <c r="D50" s="387"/>
      <c r="E50" s="387"/>
      <c r="F50" s="387"/>
      <c r="G50" s="88"/>
      <c r="H50" s="89"/>
      <c r="I50" s="90"/>
    </row>
    <row r="51" spans="2:9" x14ac:dyDescent="0.25">
      <c r="B51" s="386"/>
      <c r="C51" s="388" t="s">
        <v>96</v>
      </c>
      <c r="D51" s="389"/>
      <c r="E51" s="388" t="s">
        <v>97</v>
      </c>
      <c r="F51" s="389"/>
      <c r="G51" s="390" t="s">
        <v>98</v>
      </c>
      <c r="H51" s="391"/>
      <c r="I51" s="54" t="s">
        <v>59</v>
      </c>
    </row>
    <row r="52" spans="2:9" ht="15.75" thickBot="1" x14ac:dyDescent="0.3">
      <c r="B52" s="91"/>
      <c r="C52" s="56" t="s">
        <v>103</v>
      </c>
      <c r="D52" s="56" t="s">
        <v>104</v>
      </c>
      <c r="E52" s="56" t="s">
        <v>103</v>
      </c>
      <c r="F52" s="56" t="s">
        <v>104</v>
      </c>
      <c r="G52" s="376" t="s">
        <v>99</v>
      </c>
      <c r="H52" s="377"/>
      <c r="I52" s="94"/>
    </row>
    <row r="53" spans="2:9" x14ac:dyDescent="0.25">
      <c r="B53" s="95" t="s">
        <v>106</v>
      </c>
      <c r="C53" s="96"/>
      <c r="D53" s="68"/>
      <c r="E53" s="97"/>
      <c r="F53" s="68"/>
      <c r="G53" s="378"/>
      <c r="H53" s="379"/>
      <c r="I53" s="98"/>
    </row>
    <row r="54" spans="2:9" x14ac:dyDescent="0.25">
      <c r="B54" s="95" t="s">
        <v>2</v>
      </c>
      <c r="C54" s="99"/>
      <c r="D54" s="68"/>
      <c r="E54" s="97"/>
      <c r="F54" s="68"/>
      <c r="G54" s="380"/>
      <c r="H54" s="381"/>
      <c r="I54" s="98"/>
    </row>
    <row r="55" spans="2:9" ht="15.75" thickBot="1" x14ac:dyDescent="0.3">
      <c r="B55" s="116" t="s">
        <v>66</v>
      </c>
      <c r="C55" s="117"/>
      <c r="D55" s="118"/>
      <c r="E55" s="119"/>
      <c r="F55" s="118"/>
      <c r="G55" s="113"/>
      <c r="H55" s="114"/>
      <c r="I55" s="120"/>
    </row>
    <row r="56" spans="2:9" ht="16.5" thickTop="1" thickBot="1" x14ac:dyDescent="0.3">
      <c r="B56" s="102">
        <v>0</v>
      </c>
      <c r="C56" s="103"/>
      <c r="D56" s="104"/>
      <c r="E56" s="105"/>
      <c r="F56" s="104"/>
      <c r="G56" s="382"/>
      <c r="H56" s="383"/>
      <c r="I56" s="108"/>
    </row>
  </sheetData>
  <mergeCells count="23">
    <mergeCell ref="G46:H46"/>
    <mergeCell ref="B9:C9"/>
    <mergeCell ref="B36:I37"/>
    <mergeCell ref="B39:B40"/>
    <mergeCell ref="C39:F39"/>
    <mergeCell ref="C40:D40"/>
    <mergeCell ref="E40:F40"/>
    <mergeCell ref="G40:H40"/>
    <mergeCell ref="G41:H41"/>
    <mergeCell ref="G42:H42"/>
    <mergeCell ref="G43:H43"/>
    <mergeCell ref="G44:H44"/>
    <mergeCell ref="G45:H45"/>
    <mergeCell ref="B50:B51"/>
    <mergeCell ref="C50:F50"/>
    <mergeCell ref="C51:D51"/>
    <mergeCell ref="E51:F51"/>
    <mergeCell ref="G51:H51"/>
    <mergeCell ref="G52:H52"/>
    <mergeCell ref="G53:H53"/>
    <mergeCell ref="G54:H54"/>
    <mergeCell ref="G56:H56"/>
    <mergeCell ref="G47:H47"/>
  </mergeCells>
  <conditionalFormatting sqref="C13">
    <cfRule type="cellIs" dxfId="85" priority="8" operator="equal">
      <formula>$C$8+$C$10+$C$11</formula>
    </cfRule>
    <cfRule type="cellIs" dxfId="84" priority="10" operator="equal">
      <formula>157.5</formula>
    </cfRule>
  </conditionalFormatting>
  <conditionalFormatting sqref="C21">
    <cfRule type="cellIs" dxfId="83" priority="9" operator="equal">
      <formula>$C$13</formula>
    </cfRule>
  </conditionalFormatting>
  <conditionalFormatting sqref="B43:B44">
    <cfRule type="containsText" dxfId="82" priority="6" operator="containsText" text="Aucun">
      <formula>NOT(ISERROR(SEARCH("Aucun",B43)))</formula>
    </cfRule>
    <cfRule type="containsText" dxfId="81" priority="7" operator="containsText" text="Nom industriel">
      <formula>NOT(ISERROR(SEARCH("Nom industriel",B43)))</formula>
    </cfRule>
  </conditionalFormatting>
  <conditionalFormatting sqref="B48">
    <cfRule type="expression" dxfId="80" priority="5">
      <formula>$D$19=Mitacs</formula>
    </cfRule>
  </conditionalFormatting>
  <conditionalFormatting sqref="C48">
    <cfRule type="expression" dxfId="79" priority="4">
      <formula>$D$19=Mitacs</formula>
    </cfRule>
  </conditionalFormatting>
  <conditionalFormatting sqref="B45:B46">
    <cfRule type="containsText" dxfId="78" priority="2" operator="containsText" text="Aucun">
      <formula>NOT(ISERROR(SEARCH("Aucun",B45)))</formula>
    </cfRule>
    <cfRule type="containsText" dxfId="77" priority="3" operator="containsText" text="Nom industriel">
      <formula>NOT(ISERROR(SEARCH("Nom industriel",B45)))</formula>
    </cfRule>
  </conditionalFormatting>
  <conditionalFormatting sqref="C54:C55">
    <cfRule type="containsText" dxfId="76" priority="1" operator="containsText" text="inscrivez">
      <formula>NOT(ISERROR(SEARCH("inscrivez",C54)))</formula>
    </cfRule>
  </conditionalFormatting>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6:I57"/>
  <sheetViews>
    <sheetView topLeftCell="A37" workbookViewId="0">
      <selection activeCell="B16" sqref="B16:I16"/>
    </sheetView>
  </sheetViews>
  <sheetFormatPr baseColWidth="10" defaultColWidth="9.140625" defaultRowHeight="15" x14ac:dyDescent="0.25"/>
  <cols>
    <col min="2" max="2" width="24.42578125" customWidth="1"/>
    <col min="3" max="3" width="15.140625" customWidth="1"/>
    <col min="6" max="6" width="10" customWidth="1"/>
  </cols>
  <sheetData>
    <row r="6" spans="2:7" x14ac:dyDescent="0.25">
      <c r="F6" t="s">
        <v>41</v>
      </c>
      <c r="G6" s="24">
        <v>0.2</v>
      </c>
    </row>
    <row r="7" spans="2:7" x14ac:dyDescent="0.25">
      <c r="F7" t="s">
        <v>42</v>
      </c>
      <c r="G7" s="23" t="e">
        <f>(0.6-G9)/1.45</f>
        <v>#DIV/0!</v>
      </c>
    </row>
    <row r="8" spans="2:7" ht="15.75" thickBot="1" x14ac:dyDescent="0.3">
      <c r="G8" s="23"/>
    </row>
    <row r="9" spans="2:7" ht="15.75" thickBot="1" x14ac:dyDescent="0.3">
      <c r="B9" s="29" t="s">
        <v>44</v>
      </c>
      <c r="C9" s="139">
        <f>'Budget de projet'!G43</f>
        <v>0</v>
      </c>
      <c r="F9" t="s">
        <v>141</v>
      </c>
      <c r="G9" s="21" t="e">
        <f>'Budget de projet'!G51/'Budget de projet'!G53</f>
        <v>#DIV/0!</v>
      </c>
    </row>
    <row r="10" spans="2:7" x14ac:dyDescent="0.25">
      <c r="B10" s="394" t="s">
        <v>45</v>
      </c>
      <c r="C10" s="394"/>
      <c r="F10" t="s">
        <v>43</v>
      </c>
      <c r="G10" s="23" t="e">
        <f>G7/4</f>
        <v>#DIV/0!</v>
      </c>
    </row>
    <row r="11" spans="2:7" x14ac:dyDescent="0.25">
      <c r="B11" s="30" t="s">
        <v>46</v>
      </c>
      <c r="C11" s="37">
        <f>C9*0.02</f>
        <v>0</v>
      </c>
      <c r="F11" t="s">
        <v>2</v>
      </c>
      <c r="G11" s="23" t="e">
        <f>G7/5</f>
        <v>#DIV/0!</v>
      </c>
    </row>
    <row r="12" spans="2:7" x14ac:dyDescent="0.25">
      <c r="B12" s="30" t="s">
        <v>47</v>
      </c>
      <c r="C12" s="37">
        <f>C9*0.03</f>
        <v>0</v>
      </c>
      <c r="F12" t="s">
        <v>55</v>
      </c>
      <c r="G12" s="8">
        <v>0.2</v>
      </c>
    </row>
    <row r="13" spans="2:7" ht="15.75" thickBot="1" x14ac:dyDescent="0.3">
      <c r="B13" s="141" t="s">
        <v>140</v>
      </c>
      <c r="C13" s="142">
        <f>'Budget de projet'!G51</f>
        <v>0</v>
      </c>
      <c r="D13" s="21" t="e">
        <f>C13/C14</f>
        <v>#DIV/0!</v>
      </c>
      <c r="F13" s="32" t="s">
        <v>50</v>
      </c>
      <c r="G13" s="22" t="e">
        <f>SUM(G6:G12)</f>
        <v>#DIV/0!</v>
      </c>
    </row>
    <row r="14" spans="2:7" ht="15.75" thickBot="1" x14ac:dyDescent="0.3">
      <c r="B14" s="31" t="s">
        <v>48</v>
      </c>
      <c r="C14" s="140">
        <f>C9*1.05+C13</f>
        <v>0</v>
      </c>
      <c r="D14" s="21"/>
    </row>
    <row r="15" spans="2:7" x14ac:dyDescent="0.25">
      <c r="C15" s="6"/>
      <c r="D15" s="21"/>
    </row>
    <row r="16" spans="2:7" x14ac:dyDescent="0.25">
      <c r="B16" t="s">
        <v>56</v>
      </c>
      <c r="C16" s="6">
        <f>C14*0.2</f>
        <v>0</v>
      </c>
      <c r="D16" s="21" t="e">
        <f>C16/C14</f>
        <v>#DIV/0!</v>
      </c>
    </row>
    <row r="17" spans="2:6" x14ac:dyDescent="0.25">
      <c r="B17" t="s">
        <v>51</v>
      </c>
      <c r="C17" s="6" t="e">
        <f>IF(C14*G7 &lt;=187500,C14*G7,187500)</f>
        <v>#DIV/0!</v>
      </c>
      <c r="D17" s="21" t="e">
        <f>C17/C14</f>
        <v>#DIV/0!</v>
      </c>
    </row>
    <row r="18" spans="2:6" x14ac:dyDescent="0.25">
      <c r="B18" t="s">
        <v>52</v>
      </c>
      <c r="C18" s="6" t="e">
        <f>IF(C14*G11 &lt;=37500,C14*G11,37500)</f>
        <v>#DIV/0!</v>
      </c>
      <c r="D18" s="21" t="e">
        <f>C18/C14</f>
        <v>#DIV/0!</v>
      </c>
    </row>
    <row r="19" spans="2:6" x14ac:dyDescent="0.25">
      <c r="B19" t="s">
        <v>55</v>
      </c>
      <c r="C19" s="6">
        <f>0.2*C14</f>
        <v>0</v>
      </c>
      <c r="D19" s="21" t="e">
        <f>C19/C14</f>
        <v>#DIV/0!</v>
      </c>
      <c r="E19" s="33" t="e">
        <f>C17+C21</f>
        <v>#DIV/0!</v>
      </c>
      <c r="F19">
        <f>0.2*C14</f>
        <v>0</v>
      </c>
    </row>
    <row r="20" spans="2:6" x14ac:dyDescent="0.25">
      <c r="B20" t="s">
        <v>54</v>
      </c>
      <c r="C20" s="6" t="e">
        <f>C14-C16-C17-C18-C19-C13</f>
        <v>#DIV/0!</v>
      </c>
      <c r="D20" s="21" t="e">
        <f>C20/C14</f>
        <v>#DIV/0!</v>
      </c>
    </row>
    <row r="21" spans="2:6" ht="15.75" thickBot="1" x14ac:dyDescent="0.3">
      <c r="C21" s="6"/>
    </row>
    <row r="22" spans="2:6" ht="15.75" thickBot="1" x14ac:dyDescent="0.3">
      <c r="B22" s="31" t="s">
        <v>48</v>
      </c>
      <c r="C22" s="39" t="e">
        <f>SUM(C16:C20)</f>
        <v>#DIV/0!</v>
      </c>
    </row>
    <row r="36" spans="2:9" ht="15.75" thickBot="1" x14ac:dyDescent="0.3"/>
    <row r="37" spans="2:9" ht="14.45" customHeight="1" x14ac:dyDescent="0.25">
      <c r="B37" s="40" t="s">
        <v>94</v>
      </c>
      <c r="C37" s="41"/>
      <c r="D37" s="41"/>
      <c r="E37" s="41"/>
      <c r="F37" s="41"/>
      <c r="G37" s="41"/>
      <c r="H37" s="41"/>
      <c r="I37" s="42"/>
    </row>
    <row r="38" spans="2:9" ht="15" customHeight="1" thickBot="1" x14ac:dyDescent="0.3">
      <c r="B38" s="43"/>
      <c r="C38" s="44"/>
      <c r="D38" s="44"/>
      <c r="E38" s="44"/>
      <c r="F38" s="44"/>
      <c r="G38" s="44"/>
      <c r="H38" s="44"/>
      <c r="I38" s="45"/>
    </row>
    <row r="39" spans="2:9" x14ac:dyDescent="0.25">
      <c r="B39" s="46"/>
      <c r="C39" s="46"/>
      <c r="D39" s="46"/>
      <c r="E39" s="46"/>
      <c r="F39" s="46"/>
      <c r="G39" s="46"/>
      <c r="H39" s="46"/>
      <c r="I39" s="46"/>
    </row>
    <row r="40" spans="2:9" ht="15" customHeight="1" thickBot="1" x14ac:dyDescent="0.3">
      <c r="B40" s="386" t="s">
        <v>93</v>
      </c>
      <c r="C40" s="110" t="s">
        <v>95</v>
      </c>
      <c r="D40" s="111"/>
      <c r="E40" s="111"/>
      <c r="F40" s="112"/>
      <c r="G40" s="47"/>
      <c r="H40" s="48"/>
      <c r="I40" s="49"/>
    </row>
    <row r="41" spans="2:9" ht="14.45" customHeight="1" x14ac:dyDescent="0.25">
      <c r="B41" s="386"/>
      <c r="C41" s="388" t="s">
        <v>96</v>
      </c>
      <c r="D41" s="389"/>
      <c r="E41" s="50" t="s">
        <v>97</v>
      </c>
      <c r="F41" s="51"/>
      <c r="G41" s="52" t="s">
        <v>98</v>
      </c>
      <c r="H41" s="53"/>
      <c r="I41" s="54" t="s">
        <v>59</v>
      </c>
    </row>
    <row r="42" spans="2:9" ht="26.25" thickBot="1" x14ac:dyDescent="0.3">
      <c r="B42" s="55"/>
      <c r="C42" s="56" t="s">
        <v>103</v>
      </c>
      <c r="D42" s="56" t="s">
        <v>104</v>
      </c>
      <c r="E42" s="56" t="s">
        <v>103</v>
      </c>
      <c r="F42" s="56" t="s">
        <v>104</v>
      </c>
      <c r="G42" s="57" t="s">
        <v>99</v>
      </c>
      <c r="H42" s="58"/>
      <c r="I42" s="59" t="s">
        <v>100</v>
      </c>
    </row>
    <row r="43" spans="2:9" ht="26.25" thickBot="1" x14ac:dyDescent="0.3">
      <c r="B43" s="60" t="s">
        <v>101</v>
      </c>
      <c r="C43" s="61"/>
      <c r="D43" s="62"/>
      <c r="E43" s="61"/>
      <c r="F43" s="62"/>
      <c r="G43" s="63"/>
      <c r="H43" s="64"/>
      <c r="I43" s="65"/>
    </row>
    <row r="44" spans="2:9" x14ac:dyDescent="0.25">
      <c r="B44" s="66"/>
      <c r="C44" s="67"/>
      <c r="D44" s="68"/>
      <c r="E44" s="67"/>
      <c r="F44" s="68"/>
      <c r="G44" s="69"/>
      <c r="H44" s="70"/>
      <c r="I44" s="71"/>
    </row>
    <row r="45" spans="2:9" x14ac:dyDescent="0.25">
      <c r="B45" s="66"/>
      <c r="C45" s="67"/>
      <c r="D45" s="68"/>
      <c r="E45" s="67"/>
      <c r="F45" s="68"/>
      <c r="G45" s="72"/>
      <c r="H45" s="73"/>
      <c r="I45" s="71"/>
    </row>
    <row r="46" spans="2:9" x14ac:dyDescent="0.25">
      <c r="B46" s="66"/>
      <c r="C46" s="67"/>
      <c r="D46" s="68"/>
      <c r="E46" s="67"/>
      <c r="F46" s="68"/>
      <c r="G46" s="72"/>
      <c r="H46" s="73"/>
      <c r="I46" s="71"/>
    </row>
    <row r="47" spans="2:9" ht="15.75" thickBot="1" x14ac:dyDescent="0.3">
      <c r="B47" s="74"/>
      <c r="C47" s="75"/>
      <c r="D47" s="76"/>
      <c r="E47" s="75"/>
      <c r="F47" s="76"/>
      <c r="G47" s="77"/>
      <c r="H47" s="78"/>
      <c r="I47" s="79"/>
    </row>
    <row r="48" spans="2:9" ht="16.5" thickTop="1" thickBot="1" x14ac:dyDescent="0.3">
      <c r="B48" s="80" t="s">
        <v>102</v>
      </c>
      <c r="C48" s="81"/>
      <c r="D48" s="81"/>
      <c r="E48" s="81"/>
      <c r="F48" s="81"/>
      <c r="G48" s="82"/>
      <c r="H48" s="83"/>
      <c r="I48" s="115"/>
    </row>
    <row r="49" spans="2:9" x14ac:dyDescent="0.25">
      <c r="B49" s="84" t="s">
        <v>143</v>
      </c>
      <c r="C49" s="85" t="s">
        <v>143</v>
      </c>
      <c r="D49" s="86"/>
      <c r="E49" s="87"/>
      <c r="F49" s="87"/>
      <c r="G49" s="87"/>
      <c r="H49" s="87"/>
      <c r="I49" s="87"/>
    </row>
    <row r="50" spans="2:9" x14ac:dyDescent="0.25">
      <c r="D50" s="86"/>
      <c r="E50" s="87"/>
      <c r="F50" s="87"/>
      <c r="G50" s="87"/>
      <c r="H50" s="87"/>
      <c r="I50" s="87"/>
    </row>
    <row r="51" spans="2:9" ht="15" customHeight="1" thickBot="1" x14ac:dyDescent="0.3">
      <c r="B51" s="386" t="s">
        <v>105</v>
      </c>
      <c r="C51" s="109" t="s">
        <v>95</v>
      </c>
      <c r="D51" s="109"/>
      <c r="E51" s="109"/>
      <c r="F51" s="109"/>
      <c r="G51" s="88"/>
      <c r="H51" s="89"/>
      <c r="I51" s="90"/>
    </row>
    <row r="52" spans="2:9" ht="14.45" customHeight="1" x14ac:dyDescent="0.25">
      <c r="B52" s="386"/>
      <c r="C52" s="388" t="s">
        <v>96</v>
      </c>
      <c r="D52" s="389"/>
      <c r="E52" s="50" t="s">
        <v>97</v>
      </c>
      <c r="F52" s="51"/>
      <c r="G52" s="52" t="s">
        <v>98</v>
      </c>
      <c r="H52" s="53"/>
      <c r="I52" s="54" t="s">
        <v>59</v>
      </c>
    </row>
    <row r="53" spans="2:9" ht="15.75" thickBot="1" x14ac:dyDescent="0.3">
      <c r="B53" s="91"/>
      <c r="C53" s="56" t="s">
        <v>103</v>
      </c>
      <c r="D53" s="56" t="s">
        <v>104</v>
      </c>
      <c r="E53" s="56" t="s">
        <v>103</v>
      </c>
      <c r="F53" s="56" t="s">
        <v>104</v>
      </c>
      <c r="G53" s="92" t="s">
        <v>99</v>
      </c>
      <c r="H53" s="93"/>
      <c r="I53" s="94"/>
    </row>
    <row r="54" spans="2:9" x14ac:dyDescent="0.25">
      <c r="B54" s="95" t="s">
        <v>106</v>
      </c>
      <c r="C54" s="96"/>
      <c r="D54" s="68"/>
      <c r="E54" s="97"/>
      <c r="F54" s="68"/>
      <c r="G54" s="72"/>
      <c r="H54" s="73"/>
      <c r="I54" s="98"/>
    </row>
    <row r="55" spans="2:9" x14ac:dyDescent="0.25">
      <c r="B55" s="95" t="s">
        <v>2</v>
      </c>
      <c r="C55" s="99"/>
      <c r="D55" s="68"/>
      <c r="E55" s="97"/>
      <c r="F55" s="68"/>
      <c r="G55" s="100"/>
      <c r="H55" s="101"/>
      <c r="I55" s="98"/>
    </row>
    <row r="56" spans="2:9" ht="15.75" thickBot="1" x14ac:dyDescent="0.3">
      <c r="B56" s="116" t="s">
        <v>66</v>
      </c>
      <c r="C56" s="117"/>
      <c r="D56" s="118"/>
      <c r="E56" s="119"/>
      <c r="F56" s="118"/>
      <c r="G56" s="113"/>
      <c r="H56" s="114"/>
      <c r="I56" s="120"/>
    </row>
    <row r="57" spans="2:9" ht="16.5" thickTop="1" thickBot="1" x14ac:dyDescent="0.3">
      <c r="B57" s="102">
        <v>0</v>
      </c>
      <c r="C57" s="103"/>
      <c r="D57" s="104"/>
      <c r="E57" s="105"/>
      <c r="F57" s="104"/>
      <c r="G57" s="106"/>
      <c r="H57" s="107"/>
      <c r="I57" s="108"/>
    </row>
  </sheetData>
  <mergeCells count="5">
    <mergeCell ref="B10:C10"/>
    <mergeCell ref="B40:B41"/>
    <mergeCell ref="C41:D41"/>
    <mergeCell ref="B51:B52"/>
    <mergeCell ref="C52:D52"/>
  </mergeCells>
  <conditionalFormatting sqref="C14">
    <cfRule type="cellIs" dxfId="75" priority="8" operator="equal">
      <formula>$C$9+$C$11+$C$12</formula>
    </cfRule>
    <cfRule type="cellIs" dxfId="74" priority="10" operator="equal">
      <formula>157.5</formula>
    </cfRule>
  </conditionalFormatting>
  <conditionalFormatting sqref="C22">
    <cfRule type="cellIs" dxfId="73" priority="9" operator="equal">
      <formula>$C$14</formula>
    </cfRule>
  </conditionalFormatting>
  <conditionalFormatting sqref="B44:B45">
    <cfRule type="containsText" dxfId="72" priority="6" operator="containsText" text="Aucun">
      <formula>NOT(ISERROR(SEARCH("Aucun",B44)))</formula>
    </cfRule>
    <cfRule type="containsText" dxfId="71" priority="7" operator="containsText" text="Nom industriel">
      <formula>NOT(ISERROR(SEARCH("Nom industriel",B44)))</formula>
    </cfRule>
  </conditionalFormatting>
  <conditionalFormatting sqref="B49">
    <cfRule type="expression" dxfId="70" priority="5">
      <formula>$D$20=Mitacs</formula>
    </cfRule>
  </conditionalFormatting>
  <conditionalFormatting sqref="C49">
    <cfRule type="expression" dxfId="69" priority="4">
      <formula>$D$20=Mitacs</formula>
    </cfRule>
  </conditionalFormatting>
  <conditionalFormatting sqref="B46:B47">
    <cfRule type="containsText" dxfId="68" priority="2" operator="containsText" text="Aucun">
      <formula>NOT(ISERROR(SEARCH("Aucun",B46)))</formula>
    </cfRule>
    <cfRule type="containsText" dxfId="67" priority="3" operator="containsText" text="Nom industriel">
      <formula>NOT(ISERROR(SEARCH("Nom industriel",B46)))</formula>
    </cfRule>
  </conditionalFormatting>
  <conditionalFormatting sqref="C55:C56">
    <cfRule type="containsText" dxfId="66" priority="1" operator="containsText" text="inscrivez">
      <formula>NOT(ISERROR(SEARCH("inscrivez",C55)))</formula>
    </cfRule>
  </conditionalFormatting>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topLeftCell="A88" zoomScale="85" zoomScaleNormal="85" workbookViewId="0">
      <selection activeCell="B77" sqref="B77:H78"/>
    </sheetView>
  </sheetViews>
  <sheetFormatPr baseColWidth="10" defaultColWidth="9.140625" defaultRowHeight="15" x14ac:dyDescent="0.25"/>
  <cols>
    <col min="2" max="2" width="47.5703125" customWidth="1"/>
    <col min="3" max="3" width="22.140625" customWidth="1"/>
    <col min="4" max="4" width="19.28515625" customWidth="1"/>
    <col min="5" max="5" width="22.85546875" customWidth="1"/>
    <col min="6" max="6" width="11.7109375" customWidth="1"/>
    <col min="7" max="7" width="18.7109375" customWidth="1"/>
    <col min="8" max="8" width="21.28515625" customWidth="1"/>
    <col min="9" max="9" width="31.28515625" customWidth="1"/>
    <col min="10" max="10" width="33.85546875" customWidth="1"/>
    <col min="11" max="11" width="32.28515625" bestFit="1" customWidth="1"/>
    <col min="12" max="12" width="13.7109375" customWidth="1"/>
    <col min="13" max="13" width="16.28515625" customWidth="1"/>
    <col min="15" max="15" width="30" bestFit="1" customWidth="1"/>
  </cols>
  <sheetData>
    <row r="1" spans="1:13" x14ac:dyDescent="0.25">
      <c r="A1" s="305"/>
      <c r="B1" s="305"/>
      <c r="C1" s="305"/>
      <c r="D1" s="305"/>
      <c r="E1" s="305"/>
      <c r="F1" s="305"/>
      <c r="G1" s="305"/>
      <c r="H1" s="305"/>
      <c r="I1" s="305"/>
      <c r="J1" s="305"/>
    </row>
    <row r="2" spans="1:13" x14ac:dyDescent="0.25">
      <c r="A2" s="305"/>
      <c r="B2" s="305"/>
      <c r="C2" s="305"/>
      <c r="E2" s="305"/>
      <c r="F2" s="305"/>
      <c r="G2" s="305"/>
      <c r="H2" s="305"/>
      <c r="I2" s="305"/>
      <c r="J2" s="305"/>
    </row>
    <row r="3" spans="1:13" x14ac:dyDescent="0.25">
      <c r="A3" s="305"/>
      <c r="B3" s="305"/>
      <c r="C3" s="305"/>
      <c r="D3" s="305"/>
      <c r="E3" s="305"/>
      <c r="F3" s="305"/>
      <c r="G3" s="305"/>
      <c r="H3" s="305"/>
      <c r="I3" s="305"/>
      <c r="J3" s="305"/>
    </row>
    <row r="4" spans="1:13" x14ac:dyDescent="0.25">
      <c r="A4" s="305"/>
      <c r="B4" s="305"/>
      <c r="C4" s="305"/>
      <c r="D4" s="305"/>
      <c r="E4" s="305"/>
      <c r="F4" s="305"/>
      <c r="G4" s="305"/>
      <c r="H4" s="305"/>
      <c r="I4" s="305"/>
      <c r="J4" s="305"/>
    </row>
    <row r="5" spans="1:13" x14ac:dyDescent="0.25">
      <c r="A5" s="305"/>
      <c r="B5" s="305"/>
      <c r="D5" s="305"/>
      <c r="E5" s="305"/>
      <c r="F5" s="305"/>
      <c r="G5" s="305"/>
      <c r="H5" s="305"/>
      <c r="I5" s="305"/>
      <c r="J5" s="305"/>
    </row>
    <row r="6" spans="1:13" x14ac:dyDescent="0.25">
      <c r="A6" s="305"/>
      <c r="B6" s="305"/>
      <c r="C6" s="305"/>
      <c r="E6" s="305"/>
      <c r="F6" s="305"/>
      <c r="G6" s="305"/>
      <c r="H6" s="305"/>
      <c r="I6" s="305"/>
      <c r="J6" s="305"/>
    </row>
    <row r="7" spans="1:13" x14ac:dyDescent="0.25">
      <c r="A7" s="305"/>
      <c r="B7" s="305"/>
      <c r="C7" s="305"/>
      <c r="D7" s="305"/>
      <c r="E7" s="305"/>
      <c r="F7" s="305"/>
      <c r="G7" s="305"/>
      <c r="H7" s="305"/>
      <c r="I7" s="305"/>
      <c r="J7" s="305"/>
    </row>
    <row r="8" spans="1:13" ht="36" x14ac:dyDescent="0.55000000000000004">
      <c r="A8" s="305"/>
      <c r="B8" s="305"/>
      <c r="C8" s="305"/>
      <c r="D8" s="307" t="s">
        <v>221</v>
      </c>
      <c r="E8" s="305"/>
      <c r="F8" s="305"/>
      <c r="G8" s="305"/>
      <c r="H8" s="305"/>
      <c r="I8" s="305"/>
      <c r="J8" s="305"/>
    </row>
    <row r="9" spans="1:13" x14ac:dyDescent="0.25">
      <c r="A9" s="305"/>
      <c r="B9" s="305"/>
      <c r="C9" s="305"/>
      <c r="D9" s="305"/>
      <c r="E9" s="305"/>
      <c r="F9" s="305"/>
      <c r="G9" s="305"/>
      <c r="H9" s="305"/>
      <c r="I9" s="305"/>
      <c r="J9" s="305"/>
    </row>
    <row r="10" spans="1:13" ht="23.25" x14ac:dyDescent="0.35">
      <c r="A10" s="305"/>
      <c r="B10" s="363" t="s">
        <v>144</v>
      </c>
      <c r="C10" s="362"/>
      <c r="D10" s="362"/>
      <c r="E10" s="362"/>
      <c r="F10" s="362"/>
      <c r="G10" s="362"/>
      <c r="H10" s="362"/>
      <c r="I10" s="362"/>
      <c r="J10" s="305"/>
    </row>
    <row r="11" spans="1:13" ht="25.5" customHeight="1" x14ac:dyDescent="0.25">
      <c r="A11" s="305"/>
      <c r="B11" s="420" t="s">
        <v>347</v>
      </c>
      <c r="C11" s="420"/>
      <c r="D11" s="420"/>
      <c r="E11" s="420"/>
      <c r="F11" s="420"/>
      <c r="G11" s="420"/>
      <c r="H11" s="420"/>
      <c r="I11" s="420"/>
      <c r="J11" s="305"/>
    </row>
    <row r="12" spans="1:13" ht="27.75" customHeight="1" x14ac:dyDescent="0.25">
      <c r="A12" s="305"/>
      <c r="B12" s="420" t="s">
        <v>339</v>
      </c>
      <c r="C12" s="420"/>
      <c r="D12" s="420"/>
      <c r="E12" s="420"/>
      <c r="F12" s="420"/>
      <c r="G12" s="420"/>
      <c r="H12" s="420"/>
      <c r="I12" s="420"/>
      <c r="J12" s="305"/>
    </row>
    <row r="13" spans="1:13" ht="84.75" customHeight="1" x14ac:dyDescent="0.25">
      <c r="A13" s="305"/>
      <c r="B13" s="421" t="s">
        <v>342</v>
      </c>
      <c r="C13" s="421"/>
      <c r="D13" s="421"/>
      <c r="E13" s="421"/>
      <c r="F13" s="421"/>
      <c r="G13" s="421"/>
      <c r="H13" s="421"/>
      <c r="I13" s="421"/>
      <c r="J13" s="305"/>
      <c r="K13" s="132"/>
      <c r="L13" s="410" t="s">
        <v>116</v>
      </c>
      <c r="M13" s="410"/>
    </row>
    <row r="14" spans="1:13" ht="31.5" customHeight="1" x14ac:dyDescent="0.25">
      <c r="A14" s="305"/>
      <c r="B14" s="422" t="s">
        <v>349</v>
      </c>
      <c r="C14" s="422"/>
      <c r="D14" s="422"/>
      <c r="E14" s="422"/>
      <c r="F14" s="422"/>
      <c r="G14" s="422"/>
      <c r="H14" s="422"/>
      <c r="I14" s="422"/>
      <c r="J14" s="305"/>
      <c r="K14" s="145" t="s">
        <v>117</v>
      </c>
      <c r="L14" s="145" t="s">
        <v>110</v>
      </c>
      <c r="M14" s="145" t="s">
        <v>41</v>
      </c>
    </row>
    <row r="15" spans="1:13" ht="27.75" customHeight="1" x14ac:dyDescent="0.25">
      <c r="A15" s="305"/>
      <c r="B15" s="420" t="s">
        <v>340</v>
      </c>
      <c r="C15" s="420"/>
      <c r="D15" s="420"/>
      <c r="E15" s="420"/>
      <c r="F15" s="420"/>
      <c r="G15" s="420"/>
      <c r="H15" s="420"/>
      <c r="I15" s="420"/>
      <c r="J15" s="305"/>
      <c r="K15" s="137" t="s">
        <v>91</v>
      </c>
      <c r="L15" s="138">
        <v>0</v>
      </c>
      <c r="M15" s="134"/>
    </row>
    <row r="16" spans="1:13" ht="81.75" customHeight="1" x14ac:dyDescent="0.25">
      <c r="A16" s="305"/>
      <c r="B16" s="423" t="s">
        <v>359</v>
      </c>
      <c r="C16" s="423"/>
      <c r="D16" s="423"/>
      <c r="E16" s="423"/>
      <c r="F16" s="423"/>
      <c r="G16" s="423"/>
      <c r="H16" s="423"/>
      <c r="I16" s="423"/>
      <c r="J16" s="305"/>
      <c r="K16" s="135" t="s">
        <v>118</v>
      </c>
      <c r="L16" s="136">
        <v>0.27</v>
      </c>
      <c r="M16" s="136">
        <v>0.27</v>
      </c>
    </row>
    <row r="17" spans="1:13" x14ac:dyDescent="0.25">
      <c r="A17" s="305"/>
      <c r="B17" s="305" t="s">
        <v>336</v>
      </c>
      <c r="C17" s="305"/>
      <c r="D17" s="305"/>
      <c r="E17" s="305"/>
      <c r="F17" s="305"/>
      <c r="G17" s="305"/>
      <c r="H17" s="305"/>
      <c r="I17" s="305"/>
      <c r="J17" s="305"/>
      <c r="K17" s="135" t="s">
        <v>119</v>
      </c>
      <c r="L17" s="136">
        <v>0.27</v>
      </c>
      <c r="M17" s="136">
        <v>0.27</v>
      </c>
    </row>
    <row r="18" spans="1:13" ht="15.75" thickBot="1" x14ac:dyDescent="0.3">
      <c r="A18" s="305"/>
      <c r="B18" s="305"/>
      <c r="C18" s="305"/>
      <c r="D18" s="305"/>
      <c r="E18" s="305"/>
      <c r="F18" s="305"/>
      <c r="G18" s="305"/>
      <c r="H18" s="305"/>
      <c r="I18" s="305"/>
      <c r="J18" s="305"/>
      <c r="K18" s="135" t="s">
        <v>120</v>
      </c>
      <c r="L18" s="136">
        <v>0.3</v>
      </c>
      <c r="M18" s="136">
        <v>0.27</v>
      </c>
    </row>
    <row r="19" spans="1:13" ht="15.75" thickBot="1" x14ac:dyDescent="0.3">
      <c r="A19" s="305"/>
      <c r="B19" s="411" t="s">
        <v>193</v>
      </c>
      <c r="C19" s="412"/>
      <c r="D19" s="305"/>
      <c r="E19" s="305"/>
      <c r="F19" s="305"/>
      <c r="G19" s="305"/>
      <c r="H19" s="305"/>
      <c r="I19" s="305"/>
      <c r="J19" s="305"/>
      <c r="K19" s="135" t="s">
        <v>121</v>
      </c>
      <c r="L19" s="136">
        <v>0.3</v>
      </c>
      <c r="M19" s="136">
        <v>0.27</v>
      </c>
    </row>
    <row r="20" spans="1:13" ht="15.75" thickBot="1" x14ac:dyDescent="0.3">
      <c r="A20" s="305"/>
      <c r="B20" s="275" t="s">
        <v>222</v>
      </c>
      <c r="C20" s="276" t="str">
        <f>'Budget de projet'!C20</f>
        <v>FRA</v>
      </c>
      <c r="D20" s="305"/>
      <c r="E20" s="413" t="s">
        <v>194</v>
      </c>
      <c r="F20" s="414"/>
      <c r="G20" s="414"/>
      <c r="H20" s="414"/>
      <c r="I20" s="415"/>
      <c r="J20" s="305"/>
      <c r="K20" s="135" t="s">
        <v>122</v>
      </c>
      <c r="L20" s="136">
        <v>0.3</v>
      </c>
      <c r="M20" s="136">
        <v>0.27</v>
      </c>
    </row>
    <row r="21" spans="1:13" x14ac:dyDescent="0.25">
      <c r="A21" s="305"/>
      <c r="B21" s="275" t="s">
        <v>281</v>
      </c>
      <c r="C21" s="276" t="str">
        <f>TRL</f>
        <v>Sélectionnez / Select</v>
      </c>
      <c r="D21" s="305"/>
      <c r="E21" s="416" t="s">
        <v>156</v>
      </c>
      <c r="F21" s="417"/>
      <c r="G21" s="283" t="s">
        <v>157</v>
      </c>
      <c r="H21" s="174" t="s">
        <v>111</v>
      </c>
      <c r="I21" s="175" t="s">
        <v>190</v>
      </c>
      <c r="J21" s="305"/>
      <c r="K21" s="135" t="s">
        <v>123</v>
      </c>
      <c r="L21" s="136">
        <v>0.3</v>
      </c>
      <c r="M21" s="136">
        <v>0.27</v>
      </c>
    </row>
    <row r="22" spans="1:13" x14ac:dyDescent="0.25">
      <c r="A22" s="305"/>
      <c r="B22" s="179" t="s">
        <v>0</v>
      </c>
      <c r="C22" s="176" t="s">
        <v>256</v>
      </c>
      <c r="D22" s="305"/>
      <c r="E22" s="418">
        <f>'Budget de projet'!E22:F22</f>
        <v>0</v>
      </c>
      <c r="F22" s="419"/>
      <c r="G22" s="313" t="s">
        <v>256</v>
      </c>
      <c r="H22" s="281" t="s">
        <v>256</v>
      </c>
      <c r="I22" s="176" t="s">
        <v>256</v>
      </c>
      <c r="J22" s="305"/>
      <c r="K22" s="135" t="s">
        <v>124</v>
      </c>
      <c r="L22" s="136">
        <v>0.27</v>
      </c>
      <c r="M22" s="136">
        <v>0.27</v>
      </c>
    </row>
    <row r="23" spans="1:13" x14ac:dyDescent="0.25">
      <c r="A23" s="305"/>
      <c r="B23" s="180" t="s">
        <v>215</v>
      </c>
      <c r="C23" s="177" t="str">
        <f>'Budget de projet'!C23</f>
        <v>Sélectionnez / Select</v>
      </c>
      <c r="D23" s="305"/>
      <c r="E23" s="418">
        <f>'Budget de projet'!E23:F23</f>
        <v>0</v>
      </c>
      <c r="F23" s="419"/>
      <c r="G23" s="313" t="s">
        <v>91</v>
      </c>
      <c r="H23" s="281" t="s">
        <v>91</v>
      </c>
      <c r="I23" s="176" t="s">
        <v>91</v>
      </c>
      <c r="J23" s="305"/>
      <c r="K23" s="135" t="s">
        <v>125</v>
      </c>
      <c r="L23" s="136">
        <v>0.27</v>
      </c>
      <c r="M23" s="136">
        <v>0.27</v>
      </c>
    </row>
    <row r="24" spans="1:13" x14ac:dyDescent="0.25">
      <c r="A24" s="305"/>
      <c r="B24" s="180" t="s">
        <v>213</v>
      </c>
      <c r="C24" s="177">
        <f>'Budget de projet'!C24</f>
        <v>0</v>
      </c>
      <c r="D24" s="305"/>
      <c r="E24" s="418">
        <f>'Budget de projet'!E24:F24</f>
        <v>0</v>
      </c>
      <c r="F24" s="419"/>
      <c r="G24" s="313" t="s">
        <v>91</v>
      </c>
      <c r="H24" s="281" t="s">
        <v>91</v>
      </c>
      <c r="I24" s="176" t="s">
        <v>91</v>
      </c>
      <c r="J24" s="308"/>
      <c r="K24" s="135" t="s">
        <v>126</v>
      </c>
      <c r="L24" s="136">
        <v>0.27</v>
      </c>
      <c r="M24" s="136">
        <v>0.27</v>
      </c>
    </row>
    <row r="25" spans="1:13" ht="15.75" thickBot="1" x14ac:dyDescent="0.3">
      <c r="A25" s="305"/>
      <c r="B25" s="181" t="s">
        <v>214</v>
      </c>
      <c r="C25" s="178">
        <f>'Budget de projet'!C25</f>
        <v>0</v>
      </c>
      <c r="D25" s="305"/>
      <c r="E25" s="418">
        <f>'Budget de projet'!E25:F25</f>
        <v>0</v>
      </c>
      <c r="F25" s="419"/>
      <c r="G25" s="182" t="s">
        <v>91</v>
      </c>
      <c r="H25" s="282" t="s">
        <v>91</v>
      </c>
      <c r="I25" s="182" t="s">
        <v>91</v>
      </c>
      <c r="J25" s="308"/>
      <c r="K25" s="135" t="s">
        <v>127</v>
      </c>
      <c r="L25" s="136">
        <v>0</v>
      </c>
      <c r="M25" s="136">
        <v>0</v>
      </c>
    </row>
    <row r="26" spans="1:13" ht="15.75" thickBot="1" x14ac:dyDescent="0.3">
      <c r="A26" s="305"/>
      <c r="B26" s="305"/>
      <c r="C26" s="305"/>
      <c r="D26" s="305"/>
      <c r="E26" s="305"/>
      <c r="F26" s="305"/>
      <c r="G26" s="305"/>
      <c r="H26" s="305"/>
      <c r="I26" s="305"/>
      <c r="J26" s="305"/>
      <c r="K26" s="135" t="s">
        <v>128</v>
      </c>
      <c r="L26" s="136">
        <v>0</v>
      </c>
      <c r="M26" s="136">
        <v>0</v>
      </c>
    </row>
    <row r="27" spans="1:13" ht="24" thickBot="1" x14ac:dyDescent="0.3">
      <c r="A27" s="305"/>
      <c r="B27" s="428" t="s">
        <v>192</v>
      </c>
      <c r="C27" s="429"/>
      <c r="D27" s="429"/>
      <c r="E27" s="429"/>
      <c r="F27" s="429"/>
      <c r="G27" s="429"/>
      <c r="H27" s="430"/>
      <c r="I27" s="309"/>
      <c r="J27" s="305"/>
      <c r="K27" s="135" t="s">
        <v>129</v>
      </c>
      <c r="L27" s="136">
        <v>0.3</v>
      </c>
      <c r="M27" s="136">
        <v>0.27</v>
      </c>
    </row>
    <row r="28" spans="1:13" ht="15.75" thickBot="1" x14ac:dyDescent="0.3">
      <c r="A28" s="305"/>
      <c r="B28" s="210" t="s">
        <v>69</v>
      </c>
      <c r="C28" s="431">
        <v>1</v>
      </c>
      <c r="D28" s="432"/>
      <c r="E28" s="431">
        <v>2</v>
      </c>
      <c r="F28" s="432"/>
      <c r="G28" s="431" t="s">
        <v>59</v>
      </c>
      <c r="H28" s="433"/>
      <c r="I28" s="305"/>
      <c r="J28" s="305"/>
      <c r="K28" s="135" t="s">
        <v>130</v>
      </c>
      <c r="L28" s="136">
        <v>0.3</v>
      </c>
      <c r="M28" s="136">
        <v>0.27</v>
      </c>
    </row>
    <row r="29" spans="1:13" x14ac:dyDescent="0.25">
      <c r="A29" s="305"/>
      <c r="B29" s="183" t="s">
        <v>70</v>
      </c>
      <c r="C29" s="434">
        <f>SUM(C30:C32)</f>
        <v>0</v>
      </c>
      <c r="D29" s="435"/>
      <c r="E29" s="434">
        <f>SUM(E30:E32)</f>
        <v>0</v>
      </c>
      <c r="F29" s="435"/>
      <c r="G29" s="436">
        <f>SUM(C29:F29)</f>
        <v>0</v>
      </c>
      <c r="H29" s="437"/>
      <c r="I29" s="305"/>
      <c r="J29" s="305"/>
      <c r="K29" s="135" t="s">
        <v>131</v>
      </c>
      <c r="L29" s="136">
        <v>0.27</v>
      </c>
      <c r="M29" s="136">
        <v>0.27</v>
      </c>
    </row>
    <row r="30" spans="1:13" x14ac:dyDescent="0.25">
      <c r="A30" s="305"/>
      <c r="B30" s="188" t="s">
        <v>71</v>
      </c>
      <c r="C30" s="424">
        <f>'Budget de projet'!C30:D30</f>
        <v>0</v>
      </c>
      <c r="D30" s="425"/>
      <c r="E30" s="424">
        <f>'Budget de projet'!E30:F30</f>
        <v>0</v>
      </c>
      <c r="F30" s="425"/>
      <c r="G30" s="426">
        <f>SUM(C30:F30)</f>
        <v>0</v>
      </c>
      <c r="H30" s="427"/>
      <c r="I30" s="305"/>
      <c r="J30" s="305"/>
      <c r="K30" s="135" t="s">
        <v>132</v>
      </c>
      <c r="L30" s="136">
        <v>0.27</v>
      </c>
      <c r="M30" s="136">
        <v>0.27</v>
      </c>
    </row>
    <row r="31" spans="1:13" x14ac:dyDescent="0.25">
      <c r="A31" s="305"/>
      <c r="B31" s="188" t="s">
        <v>72</v>
      </c>
      <c r="C31" s="424">
        <f>'Budget de projet'!C31:D31</f>
        <v>0</v>
      </c>
      <c r="D31" s="425"/>
      <c r="E31" s="424">
        <f>'Budget de projet'!E31:F31</f>
        <v>0</v>
      </c>
      <c r="F31" s="425"/>
      <c r="G31" s="426">
        <f t="shared" ref="G31:G42" si="0">SUM(C31:F31)</f>
        <v>0</v>
      </c>
      <c r="H31" s="427"/>
      <c r="I31" s="305"/>
      <c r="J31" s="305"/>
      <c r="K31" s="135" t="s">
        <v>133</v>
      </c>
      <c r="L31" s="136">
        <v>0.27</v>
      </c>
      <c r="M31" s="136">
        <v>0.27</v>
      </c>
    </row>
    <row r="32" spans="1:13" x14ac:dyDescent="0.25">
      <c r="A32" s="305"/>
      <c r="B32" s="189" t="s">
        <v>73</v>
      </c>
      <c r="C32" s="424">
        <f>'Budget de projet'!C32:D32</f>
        <v>0</v>
      </c>
      <c r="D32" s="425"/>
      <c r="E32" s="424">
        <f>'Budget de projet'!E32:F32</f>
        <v>0</v>
      </c>
      <c r="F32" s="425"/>
      <c r="G32" s="426">
        <f t="shared" si="0"/>
        <v>0</v>
      </c>
      <c r="H32" s="427"/>
      <c r="I32" s="305"/>
      <c r="J32" s="305"/>
      <c r="K32" s="135" t="s">
        <v>134</v>
      </c>
      <c r="L32" s="136">
        <v>0.27</v>
      </c>
      <c r="M32" s="136">
        <v>0.27</v>
      </c>
    </row>
    <row r="33" spans="1:15" x14ac:dyDescent="0.25">
      <c r="A33" s="305"/>
      <c r="B33" s="184" t="s">
        <v>74</v>
      </c>
      <c r="C33" s="438">
        <f>SUM(C34:C36)</f>
        <v>0</v>
      </c>
      <c r="D33" s="439"/>
      <c r="E33" s="438">
        <f>SUM(E34:E36)</f>
        <v>0</v>
      </c>
      <c r="F33" s="439"/>
      <c r="G33" s="440">
        <f t="shared" si="0"/>
        <v>0</v>
      </c>
      <c r="H33" s="441"/>
      <c r="I33" s="305"/>
      <c r="J33" s="305"/>
      <c r="K33" s="135" t="s">
        <v>135</v>
      </c>
      <c r="L33" s="136">
        <v>0.27</v>
      </c>
      <c r="M33" s="136">
        <v>0.27</v>
      </c>
    </row>
    <row r="34" spans="1:15" x14ac:dyDescent="0.25">
      <c r="A34" s="305"/>
      <c r="B34" s="190" t="s">
        <v>75</v>
      </c>
      <c r="C34" s="424">
        <f>'Budget de projet'!C34:D34</f>
        <v>0</v>
      </c>
      <c r="D34" s="425"/>
      <c r="E34" s="424">
        <f>'Budget de projet'!E34:F34</f>
        <v>0</v>
      </c>
      <c r="F34" s="425"/>
      <c r="G34" s="426">
        <f t="shared" si="0"/>
        <v>0</v>
      </c>
      <c r="H34" s="427"/>
      <c r="I34" s="305"/>
      <c r="J34" s="305"/>
      <c r="K34" s="135" t="s">
        <v>136</v>
      </c>
      <c r="L34" s="136">
        <v>0.27</v>
      </c>
      <c r="M34" s="136">
        <v>0.27</v>
      </c>
    </row>
    <row r="35" spans="1:15" x14ac:dyDescent="0.25">
      <c r="A35" s="305"/>
      <c r="B35" s="190" t="s">
        <v>76</v>
      </c>
      <c r="C35" s="424">
        <f>'Budget de projet'!C35:D35</f>
        <v>0</v>
      </c>
      <c r="D35" s="425"/>
      <c r="E35" s="424">
        <f>'Budget de projet'!E35:F35</f>
        <v>0</v>
      </c>
      <c r="F35" s="425"/>
      <c r="G35" s="426">
        <f t="shared" si="0"/>
        <v>0</v>
      </c>
      <c r="H35" s="427"/>
      <c r="I35" s="305"/>
      <c r="J35" s="305"/>
      <c r="K35" s="135" t="s">
        <v>137</v>
      </c>
      <c r="L35" s="136">
        <v>0.27</v>
      </c>
      <c r="M35" s="136">
        <v>0.27</v>
      </c>
    </row>
    <row r="36" spans="1:15" x14ac:dyDescent="0.25">
      <c r="A36" s="305"/>
      <c r="B36" s="191" t="s">
        <v>77</v>
      </c>
      <c r="C36" s="424">
        <f>'Budget de projet'!C36:D36</f>
        <v>0</v>
      </c>
      <c r="D36" s="425"/>
      <c r="E36" s="424">
        <f>'Budget de projet'!E36:F36</f>
        <v>0</v>
      </c>
      <c r="F36" s="425"/>
      <c r="G36" s="426">
        <f t="shared" si="0"/>
        <v>0</v>
      </c>
      <c r="H36" s="427"/>
      <c r="I36" s="305"/>
      <c r="J36" s="305"/>
      <c r="K36" s="135" t="s">
        <v>138</v>
      </c>
      <c r="L36" s="136">
        <v>0.27</v>
      </c>
      <c r="M36" s="136">
        <v>0.27</v>
      </c>
    </row>
    <row r="37" spans="1:15" x14ac:dyDescent="0.25">
      <c r="A37" s="305"/>
      <c r="B37" s="185" t="s">
        <v>78</v>
      </c>
      <c r="C37" s="438">
        <f>SUM(C38:C40)</f>
        <v>0</v>
      </c>
      <c r="D37" s="439"/>
      <c r="E37" s="438">
        <f>SUM(E38:E40)</f>
        <v>0</v>
      </c>
      <c r="F37" s="439"/>
      <c r="G37" s="440">
        <f t="shared" si="0"/>
        <v>0</v>
      </c>
      <c r="H37" s="441"/>
      <c r="I37" s="305"/>
      <c r="J37" s="305"/>
      <c r="K37" s="278" t="s">
        <v>216</v>
      </c>
      <c r="L37" s="279"/>
      <c r="M37" s="279"/>
    </row>
    <row r="38" spans="1:15" ht="15.75" thickBot="1" x14ac:dyDescent="0.3">
      <c r="A38" s="305"/>
      <c r="B38" s="190" t="s">
        <v>79</v>
      </c>
      <c r="C38" s="424">
        <f>'Budget de projet'!C38:D38</f>
        <v>0</v>
      </c>
      <c r="D38" s="425"/>
      <c r="E38" s="424">
        <f>'Budget de projet'!E38:F38</f>
        <v>0</v>
      </c>
      <c r="F38" s="425"/>
      <c r="G38" s="426">
        <f t="shared" si="0"/>
        <v>0</v>
      </c>
      <c r="H38" s="427"/>
      <c r="I38" s="305"/>
      <c r="J38" s="305"/>
    </row>
    <row r="39" spans="1:15" ht="15.75" thickBot="1" x14ac:dyDescent="0.3">
      <c r="A39" s="305"/>
      <c r="B39" s="190" t="s">
        <v>80</v>
      </c>
      <c r="C39" s="424">
        <f>'Budget de projet'!C39:D39</f>
        <v>0</v>
      </c>
      <c r="D39" s="425"/>
      <c r="E39" s="424">
        <f>'Budget de projet'!E39:F39</f>
        <v>0</v>
      </c>
      <c r="F39" s="425"/>
      <c r="G39" s="426">
        <f t="shared" si="0"/>
        <v>0</v>
      </c>
      <c r="H39" s="427"/>
      <c r="I39" s="305"/>
      <c r="J39" s="305"/>
      <c r="K39" s="277" t="s">
        <v>157</v>
      </c>
    </row>
    <row r="40" spans="1:15" x14ac:dyDescent="0.25">
      <c r="A40" s="305"/>
      <c r="B40" s="190" t="s">
        <v>81</v>
      </c>
      <c r="C40" s="424">
        <f>'Budget de projet'!C40:D40</f>
        <v>0</v>
      </c>
      <c r="D40" s="425"/>
      <c r="E40" s="424">
        <f>'Budget de projet'!E40:F40</f>
        <v>0</v>
      </c>
      <c r="F40" s="425"/>
      <c r="G40" s="426">
        <f t="shared" si="0"/>
        <v>0</v>
      </c>
      <c r="H40" s="427"/>
      <c r="I40" s="305"/>
      <c r="J40" s="305"/>
      <c r="K40" s="249" t="s">
        <v>91</v>
      </c>
    </row>
    <row r="41" spans="1:15" x14ac:dyDescent="0.25">
      <c r="A41" s="305"/>
      <c r="B41" s="185" t="s">
        <v>82</v>
      </c>
      <c r="C41" s="438">
        <f>C42</f>
        <v>0</v>
      </c>
      <c r="D41" s="439"/>
      <c r="E41" s="438">
        <f>E42</f>
        <v>0</v>
      </c>
      <c r="F41" s="439"/>
      <c r="G41" s="440">
        <f t="shared" si="0"/>
        <v>0</v>
      </c>
      <c r="H41" s="441"/>
      <c r="I41" s="305"/>
      <c r="J41" s="305"/>
      <c r="K41" s="249" t="s">
        <v>197</v>
      </c>
      <c r="L41">
        <v>350</v>
      </c>
      <c r="M41">
        <v>850</v>
      </c>
      <c r="N41">
        <v>1800</v>
      </c>
      <c r="O41">
        <v>4000</v>
      </c>
    </row>
    <row r="42" spans="1:15" ht="15.75" thickBot="1" x14ac:dyDescent="0.3">
      <c r="A42" s="305"/>
      <c r="B42" s="192" t="s">
        <v>83</v>
      </c>
      <c r="C42" s="442">
        <f>'Budget de projet'!C42:D42</f>
        <v>0</v>
      </c>
      <c r="D42" s="443"/>
      <c r="E42" s="442">
        <f>'Budget de projet'!E42:F42</f>
        <v>0</v>
      </c>
      <c r="F42" s="443"/>
      <c r="G42" s="444">
        <f t="shared" si="0"/>
        <v>0</v>
      </c>
      <c r="H42" s="445"/>
      <c r="I42" s="305"/>
      <c r="J42" s="305"/>
      <c r="K42" s="249" t="s">
        <v>158</v>
      </c>
      <c r="L42">
        <v>4000</v>
      </c>
      <c r="M42">
        <v>7500</v>
      </c>
    </row>
    <row r="43" spans="1:15" ht="15.75" thickTop="1" x14ac:dyDescent="0.25">
      <c r="A43" s="305"/>
      <c r="B43" s="186" t="s">
        <v>84</v>
      </c>
      <c r="C43" s="446">
        <f>C29+C33+C37+C41</f>
        <v>0</v>
      </c>
      <c r="D43" s="447"/>
      <c r="E43" s="446">
        <f>E29+E33+E37+E41</f>
        <v>0</v>
      </c>
      <c r="F43" s="447"/>
      <c r="G43" s="448">
        <f>G29+G33+G37+G41</f>
        <v>0</v>
      </c>
      <c r="H43" s="449"/>
      <c r="I43" s="305"/>
      <c r="J43" s="305"/>
      <c r="K43" s="249" t="s">
        <v>68</v>
      </c>
      <c r="L43">
        <v>4000</v>
      </c>
    </row>
    <row r="44" spans="1:15" x14ac:dyDescent="0.25">
      <c r="A44" s="305"/>
      <c r="B44" s="195"/>
      <c r="C44" s="196"/>
      <c r="D44" s="196"/>
      <c r="E44" s="196"/>
      <c r="F44" s="196"/>
      <c r="G44" s="196"/>
      <c r="H44" s="197"/>
      <c r="I44" s="305"/>
      <c r="J44" s="305"/>
      <c r="K44" s="249" t="s">
        <v>198</v>
      </c>
      <c r="L44">
        <v>1800</v>
      </c>
    </row>
    <row r="45" spans="1:15" x14ac:dyDescent="0.25">
      <c r="A45" s="305"/>
      <c r="B45" s="193" t="s">
        <v>85</v>
      </c>
      <c r="C45" s="456">
        <f>SUM(C46:D47)</f>
        <v>0</v>
      </c>
      <c r="D45" s="457"/>
      <c r="E45" s="456">
        <f t="shared" ref="E45" si="1">SUM(E46:F47)</f>
        <v>0</v>
      </c>
      <c r="F45" s="457"/>
      <c r="G45" s="458">
        <f>SUM(G46:H47)</f>
        <v>0</v>
      </c>
      <c r="H45" s="459"/>
      <c r="I45" s="305"/>
      <c r="J45" s="305"/>
      <c r="K45" s="249" t="s">
        <v>199</v>
      </c>
      <c r="L45">
        <v>4000</v>
      </c>
    </row>
    <row r="46" spans="1:15" x14ac:dyDescent="0.25">
      <c r="A46" s="305"/>
      <c r="B46" s="190" t="s">
        <v>337</v>
      </c>
      <c r="C46" s="456">
        <f>0.02*C43</f>
        <v>0</v>
      </c>
      <c r="D46" s="457"/>
      <c r="E46" s="456">
        <f t="shared" ref="E46" si="2">0.02*E43</f>
        <v>0</v>
      </c>
      <c r="F46" s="457"/>
      <c r="G46" s="460">
        <f>SUM(C46:F46)</f>
        <v>0</v>
      </c>
      <c r="H46" s="461"/>
      <c r="I46" s="305"/>
      <c r="J46" s="305"/>
      <c r="K46" s="249" t="s">
        <v>218</v>
      </c>
      <c r="L46">
        <v>4000</v>
      </c>
    </row>
    <row r="47" spans="1:15" x14ac:dyDescent="0.25">
      <c r="A47" s="305"/>
      <c r="B47" s="194" t="s">
        <v>350</v>
      </c>
      <c r="C47" s="450">
        <f>0.03*C43</f>
        <v>0</v>
      </c>
      <c r="D47" s="451"/>
      <c r="E47" s="450">
        <f t="shared" ref="E47" si="3">0.03*E43</f>
        <v>0</v>
      </c>
      <c r="F47" s="451"/>
      <c r="G47" s="452">
        <f>SUM(C47:F47)</f>
        <v>0</v>
      </c>
      <c r="H47" s="453"/>
      <c r="I47" s="305"/>
      <c r="J47" s="305"/>
      <c r="K47" s="249" t="s">
        <v>200</v>
      </c>
      <c r="L47">
        <v>4000</v>
      </c>
    </row>
    <row r="48" spans="1:15" ht="15.75" thickBot="1" x14ac:dyDescent="0.3">
      <c r="A48" s="305"/>
      <c r="B48" s="198"/>
      <c r="C48" s="199"/>
      <c r="D48" s="199"/>
      <c r="E48" s="199"/>
      <c r="F48" s="199"/>
      <c r="G48" s="199"/>
      <c r="H48" s="200"/>
      <c r="I48" s="305"/>
      <c r="J48" s="305"/>
      <c r="K48" s="249" t="s">
        <v>201</v>
      </c>
      <c r="L48">
        <v>4000</v>
      </c>
    </row>
    <row r="49" spans="1:15" ht="15.75" thickTop="1" x14ac:dyDescent="0.25">
      <c r="A49" s="305"/>
      <c r="B49" s="187" t="s">
        <v>88</v>
      </c>
      <c r="C49" s="446">
        <f>C43+C45</f>
        <v>0</v>
      </c>
      <c r="D49" s="447"/>
      <c r="E49" s="446">
        <f>E43+E45</f>
        <v>0</v>
      </c>
      <c r="F49" s="447"/>
      <c r="G49" s="454">
        <f>G43+G45</f>
        <v>0</v>
      </c>
      <c r="H49" s="455"/>
      <c r="I49" s="305"/>
      <c r="J49" s="305"/>
      <c r="K49" s="249" t="s">
        <v>202</v>
      </c>
      <c r="L49">
        <v>1800</v>
      </c>
    </row>
    <row r="50" spans="1:15" x14ac:dyDescent="0.25">
      <c r="A50" s="305"/>
      <c r="B50" s="195"/>
      <c r="C50" s="196"/>
      <c r="D50" s="196"/>
      <c r="E50" s="196"/>
      <c r="F50" s="196"/>
      <c r="G50" s="196"/>
      <c r="H50" s="197"/>
      <c r="I50" s="305"/>
      <c r="J50" s="305"/>
      <c r="K50" s="249" t="s">
        <v>203</v>
      </c>
      <c r="L50">
        <v>850</v>
      </c>
      <c r="M50">
        <v>1800</v>
      </c>
    </row>
    <row r="51" spans="1:15" x14ac:dyDescent="0.25">
      <c r="A51" s="305"/>
      <c r="B51" s="208" t="str">
        <f>"Montant en nature pris en compte (max : "&amp;IF(TRL="2-3","0% du coût total admissible du projet = ","20 % du coût total admissible du projet = ")&amp;IF(TRL="2-3",0,G49*25%)&amp;" $)"</f>
        <v>Montant en nature pris en compte (max : 20 % du coût total admissible du projet = 0 $)</v>
      </c>
      <c r="C51" s="209"/>
      <c r="D51" s="209"/>
      <c r="E51" s="209"/>
      <c r="F51" s="209"/>
      <c r="G51" s="462">
        <f>'Budget de projet'!G51</f>
        <v>0</v>
      </c>
      <c r="H51" s="463"/>
      <c r="I51" s="305"/>
      <c r="J51" s="305"/>
      <c r="K51" s="249" t="s">
        <v>217</v>
      </c>
      <c r="L51">
        <v>850</v>
      </c>
      <c r="M51">
        <v>1800</v>
      </c>
    </row>
    <row r="52" spans="1:15" ht="15.75" thickBot="1" x14ac:dyDescent="0.3">
      <c r="A52" s="305"/>
      <c r="B52" s="201"/>
      <c r="C52" s="464"/>
      <c r="D52" s="464"/>
      <c r="E52" s="202"/>
      <c r="F52" s="202"/>
      <c r="G52" s="203"/>
      <c r="H52" s="204"/>
      <c r="I52" s="305"/>
      <c r="J52" s="305"/>
      <c r="K52" s="249" t="s">
        <v>204</v>
      </c>
      <c r="L52">
        <v>850</v>
      </c>
    </row>
    <row r="53" spans="1:15" ht="16.5" thickTop="1" thickBot="1" x14ac:dyDescent="0.3">
      <c r="A53" s="305"/>
      <c r="B53" s="205" t="s">
        <v>89</v>
      </c>
      <c r="C53" s="206"/>
      <c r="D53" s="206"/>
      <c r="E53" s="207"/>
      <c r="F53" s="207"/>
      <c r="G53" s="465">
        <f>G49+G51</f>
        <v>0</v>
      </c>
      <c r="H53" s="466"/>
      <c r="I53" s="305"/>
      <c r="J53" s="305"/>
      <c r="K53" s="249" t="s">
        <v>205</v>
      </c>
      <c r="L53">
        <v>850</v>
      </c>
    </row>
    <row r="54" spans="1:15" ht="15.75" thickBot="1" x14ac:dyDescent="0.3">
      <c r="A54" s="305"/>
      <c r="B54" s="305"/>
      <c r="C54" s="305"/>
      <c r="D54" s="305"/>
      <c r="E54" s="305"/>
      <c r="F54" s="305"/>
      <c r="G54" s="305"/>
      <c r="H54" s="305"/>
      <c r="I54" s="305"/>
      <c r="J54" s="305"/>
      <c r="K54" s="249" t="s">
        <v>206</v>
      </c>
      <c r="L54">
        <v>5000</v>
      </c>
    </row>
    <row r="55" spans="1:15" ht="14.45" customHeight="1" thickBot="1" x14ac:dyDescent="0.3">
      <c r="A55" s="305"/>
      <c r="B55" s="467" t="s">
        <v>195</v>
      </c>
      <c r="C55" s="429"/>
      <c r="D55" s="429"/>
      <c r="E55" s="429"/>
      <c r="F55" s="429"/>
      <c r="G55" s="429"/>
      <c r="H55" s="429"/>
      <c r="I55" s="429"/>
      <c r="J55" s="430"/>
      <c r="K55" s="249" t="s">
        <v>207</v>
      </c>
      <c r="L55">
        <v>5000</v>
      </c>
    </row>
    <row r="56" spans="1:15" ht="15" customHeight="1" x14ac:dyDescent="0.25">
      <c r="A56" s="305"/>
      <c r="B56" s="468"/>
      <c r="C56" s="469" t="s">
        <v>95</v>
      </c>
      <c r="D56" s="470"/>
      <c r="E56" s="470"/>
      <c r="F56" s="471"/>
      <c r="G56" s="472" t="s">
        <v>98</v>
      </c>
      <c r="H56" s="473"/>
      <c r="I56" s="474" t="s">
        <v>109</v>
      </c>
      <c r="J56" s="477" t="s">
        <v>59</v>
      </c>
      <c r="K56" s="249" t="s">
        <v>208</v>
      </c>
      <c r="L56">
        <v>5000</v>
      </c>
    </row>
    <row r="57" spans="1:15" ht="14.45" customHeight="1" x14ac:dyDescent="0.25">
      <c r="A57" s="305"/>
      <c r="B57" s="468"/>
      <c r="C57" s="479" t="s">
        <v>351</v>
      </c>
      <c r="D57" s="480"/>
      <c r="E57" s="486" t="s">
        <v>97</v>
      </c>
      <c r="F57" s="480"/>
      <c r="G57" s="472"/>
      <c r="H57" s="473"/>
      <c r="I57" s="475"/>
      <c r="J57" s="478"/>
      <c r="K57" s="151"/>
    </row>
    <row r="58" spans="1:15" ht="15.75" thickBot="1" x14ac:dyDescent="0.3">
      <c r="A58" s="305"/>
      <c r="B58" s="173"/>
      <c r="C58" s="212" t="s">
        <v>103</v>
      </c>
      <c r="D58" s="212" t="s">
        <v>104</v>
      </c>
      <c r="E58" s="213" t="s">
        <v>103</v>
      </c>
      <c r="F58" s="212" t="s">
        <v>104</v>
      </c>
      <c r="G58" s="487" t="s">
        <v>99</v>
      </c>
      <c r="H58" s="488"/>
      <c r="I58" s="476"/>
      <c r="J58" s="215" t="s">
        <v>100</v>
      </c>
      <c r="K58" s="151"/>
    </row>
    <row r="59" spans="1:15" ht="19.899999999999999" customHeight="1" thickBot="1" x14ac:dyDescent="0.3">
      <c r="A59" s="305"/>
      <c r="B59" s="216" t="s">
        <v>101</v>
      </c>
      <c r="C59" s="217" t="e">
        <f>IF(TRL="2-3",IF(TransMedTech="Sans / Without TransMedTech",'TRL1-3'!C18,'iTMT TRL1-3'!C19),IF(TransMedTech="Sans TransMedTech",'TRL4-6'!C19,'iTMT TRL4-6'!C20))</f>
        <v>#DIV/0!</v>
      </c>
      <c r="D59" s="218" t="e">
        <f>C59/G53</f>
        <v>#DIV/0!</v>
      </c>
      <c r="E59" s="219">
        <f>IF(TRL="2-3",0,G51)</f>
        <v>0</v>
      </c>
      <c r="F59" s="220" t="e">
        <f>E59/G53</f>
        <v>#DIV/0!</v>
      </c>
      <c r="G59" s="489">
        <f>LOOKUP(Etablissement,Feuil1!D42:D64,Feuil1!E42:E64)</f>
        <v>0.27</v>
      </c>
      <c r="H59" s="490"/>
      <c r="I59" s="222"/>
      <c r="J59" s="223"/>
      <c r="K59" s="124" t="s">
        <v>60</v>
      </c>
      <c r="L59" s="125" t="s">
        <v>55</v>
      </c>
      <c r="M59" s="125" t="s">
        <v>61</v>
      </c>
      <c r="N59" s="127" t="s">
        <v>58</v>
      </c>
      <c r="O59" s="126" t="s">
        <v>112</v>
      </c>
    </row>
    <row r="60" spans="1:15" x14ac:dyDescent="0.25">
      <c r="A60" s="305"/>
      <c r="B60" s="250">
        <f>IF(E22="","",E22)</f>
        <v>0</v>
      </c>
      <c r="C60" s="152">
        <f>'Budget de projet'!C60</f>
        <v>0</v>
      </c>
      <c r="D60" s="229" t="e">
        <f>C60/$G$53</f>
        <v>#DIV/0!</v>
      </c>
      <c r="E60" s="153">
        <f>'Budget de projet'!E60</f>
        <v>0</v>
      </c>
      <c r="F60" s="231" t="e">
        <f>E60/$G$53</f>
        <v>#DIV/0!</v>
      </c>
      <c r="G60" s="481">
        <f>C60*G$59</f>
        <v>0</v>
      </c>
      <c r="H60" s="481"/>
      <c r="I60" s="304">
        <f>IF(H22="Oui",0,
IF(AND(G22="Membre industriel",I22="Moins de deux ans d'activité"),350,0)+
IF(AND(G22="Membre industriel",I22="Moins de 5 M$"),850,0)+
IF(AND(G22="Membre industriel",I22="De 5 M$ à 10 M$"),1800,0)+
IF(AND(G22="Membre industriel",I22="De 10 M$ à 50 M$"),1800,0)+
IF(AND(G22="Membre industriel",I22="Plus de 50 M$"),4000,0)+
IF(AND(G22="Société de consultation",I22="Moins de deux ans d'activité"),4000,0)+
IF(AND(G22="Société de consultation",I22="Moins de 5 M$"),4000,0)+
IF(AND(G22="Société de consultation",I22="De 5 M$ à 10 M$"),4000,0)+
IF(AND(G22="Société de consultation",I22="De 10 M$ à 50 M$"),7500,0)+
IF(AND(G22="Société de consultation",I22="Plus de 50 M$"),7500,0)+
IF(G22="Université",4000,0)+
IF(G22="CCTT",1800,0)+
IF(G22="Centre de recherche", 4000,0)+
IF(G22="CHU",4000,0)+
IF(G22="CIUSSS",4000,0)+
IF(G22="CCTT",4000,0)+
IF(G22="Institut",4000,0)+
IF(G22="CISSS",1800,0)+
IF(AND(G22="Organisation caritative",I22="Moins de deux ans d'activité"),850,0)+
IF(AND(G22="Organisation caritative",I22="Moins de 5 M$"),850,0)+
IF(AND(G22="Organisation caritative",I22="De 5 M$ à 10 M$"),1800,0)+
IF(AND(G22="Organisation caritative",I22="De 10 M$ à 50 M$"),1800,0)+
IF(AND(G22="Organisation caritative",I22="Plus de 50 M$"),1800,0)+
IF(AND(G22="Fondation",I22="Moins de deux ans d'activité"),850,0)+
IF(AND(G22="Fondation",I22="Moins de 5 M$"),850,0)+
IF(AND(G22="Fondation",I22="De 5 M$ à 10 M$"),1800,0)+
IF(AND(G22="Fondation",I22="De 10 M$ à 50 M$"),1800,0)+
IF(AND(G22="Fondation",I22="Plus de 50 M$"),1800,0)+
IF(G22="Groupe d'intérêt",850,0)+
IF(G22="Fédération",850,0)+
IF(G22="Incubateur / accélérateur",5000,0)+
IF(G22="Société de valorisation",5000,0)+
IF(G22="Organisme international",5000,0))</f>
        <v>0</v>
      </c>
      <c r="J60" s="233">
        <f>C60+G60+I60</f>
        <v>0</v>
      </c>
      <c r="K60" s="122" t="s">
        <v>62</v>
      </c>
      <c r="L60" s="123" t="s">
        <v>64</v>
      </c>
      <c r="M60" s="123" t="s">
        <v>67</v>
      </c>
      <c r="N60" s="128" t="s">
        <v>107</v>
      </c>
      <c r="O60" s="131" t="s">
        <v>113</v>
      </c>
    </row>
    <row r="61" spans="1:15" x14ac:dyDescent="0.25">
      <c r="A61" s="305"/>
      <c r="B61" s="250">
        <f>IF(E23="","",E23)</f>
        <v>0</v>
      </c>
      <c r="C61" s="152">
        <f>'Budget de projet'!C61</f>
        <v>0</v>
      </c>
      <c r="D61" s="230" t="e">
        <f>C61/$G$53</f>
        <v>#DIV/0!</v>
      </c>
      <c r="E61" s="153">
        <f>'Budget de projet'!E61</f>
        <v>0</v>
      </c>
      <c r="F61" s="232" t="e">
        <f>E61/$G$53</f>
        <v>#DIV/0!</v>
      </c>
      <c r="G61" s="481">
        <f t="shared" ref="G61:G63" si="4">C61*G$59</f>
        <v>0</v>
      </c>
      <c r="H61" s="481"/>
      <c r="I61" s="304">
        <f>IF(H23="Oui",0,
IF(I23="Moins de deux ans d'activité",350,
IF(I23="Moins de 5 M$", 850,
IF(I23="De 5 M$ à 50 M$", 1800,
IF(I23="Plus de 50 M$",4000,0)))))</f>
        <v>0</v>
      </c>
      <c r="J61" s="233">
        <f>C61+G61+I61</f>
        <v>0</v>
      </c>
      <c r="K61" s="121" t="s">
        <v>63</v>
      </c>
      <c r="L61" s="1" t="s">
        <v>65</v>
      </c>
      <c r="M61" s="1" t="s">
        <v>68</v>
      </c>
      <c r="N61" s="129" t="s">
        <v>108</v>
      </c>
      <c r="O61" s="130" t="s">
        <v>115</v>
      </c>
    </row>
    <row r="62" spans="1:15" x14ac:dyDescent="0.25">
      <c r="A62" s="305"/>
      <c r="B62" s="250">
        <f>IF(E24="","",E24)</f>
        <v>0</v>
      </c>
      <c r="C62" s="152">
        <f>'Budget de projet'!C62</f>
        <v>0</v>
      </c>
      <c r="D62" s="230" t="e">
        <f>C62/$G$53</f>
        <v>#DIV/0!</v>
      </c>
      <c r="E62" s="153">
        <f>'Budget de projet'!E62</f>
        <v>0</v>
      </c>
      <c r="F62" s="232" t="e">
        <f>E62/$G$53</f>
        <v>#DIV/0!</v>
      </c>
      <c r="G62" s="481">
        <f t="shared" si="4"/>
        <v>0</v>
      </c>
      <c r="H62" s="481"/>
      <c r="I62" s="304">
        <f>IF(H24="Oui",0,
IF(I24="Moins de deux ans d'activité",350,
IF(I24="Moins de 5 M$", 850,
IF(I24="De 5 M$ à 50 M$", 1800,
IF(I24="Plus de 50 M$",4000,0)))))</f>
        <v>0</v>
      </c>
      <c r="J62" s="233">
        <f>C62+G62+I62</f>
        <v>0</v>
      </c>
      <c r="K62" s="1" t="s">
        <v>91</v>
      </c>
      <c r="L62" s="1" t="s">
        <v>91</v>
      </c>
      <c r="M62" s="1" t="s">
        <v>91</v>
      </c>
      <c r="N62" s="129" t="s">
        <v>91</v>
      </c>
      <c r="O62" s="130" t="s">
        <v>219</v>
      </c>
    </row>
    <row r="63" spans="1:15" ht="15.75" thickBot="1" x14ac:dyDescent="0.3">
      <c r="A63" s="305"/>
      <c r="B63" s="250">
        <f>IF(E25="","",E25)</f>
        <v>0</v>
      </c>
      <c r="C63" s="152">
        <f>'Budget de projet'!C63</f>
        <v>0</v>
      </c>
      <c r="D63" s="230" t="e">
        <f>C63/$G$53</f>
        <v>#DIV/0!</v>
      </c>
      <c r="E63" s="153">
        <f>'Budget de projet'!E63</f>
        <v>0</v>
      </c>
      <c r="F63" s="232" t="e">
        <f>E63/$G$53</f>
        <v>#DIV/0!</v>
      </c>
      <c r="G63" s="481">
        <f t="shared" si="4"/>
        <v>0</v>
      </c>
      <c r="H63" s="481"/>
      <c r="I63" s="304">
        <f>IF(H25="Oui",0,
IF(I25="Moins de deux ans d'activité",350,
IF(I25="Moins de 5 M$", 850,
IF(I25="De 5 M$ à 50 M$", 1800,
IF(I25="Plus de 50 M$",4000,0)))))</f>
        <v>0</v>
      </c>
      <c r="J63" s="262">
        <f>C63+G63+I63</f>
        <v>0</v>
      </c>
      <c r="K63" s="146"/>
      <c r="L63" s="146"/>
      <c r="M63" s="146"/>
      <c r="N63" s="146"/>
      <c r="O63" s="130" t="s">
        <v>220</v>
      </c>
    </row>
    <row r="64" spans="1:15" ht="16.5" thickTop="1" thickBot="1" x14ac:dyDescent="0.3">
      <c r="A64" s="305"/>
      <c r="B64" s="251" t="s">
        <v>102</v>
      </c>
      <c r="C64" s="156" t="e">
        <f>ROUND(C59,0)-ROUND(SUM(C60:C63),0)</f>
        <v>#DIV/0!</v>
      </c>
      <c r="D64" s="350" t="e">
        <f>ROUND(D59,2)-ROUND(SUM(D60:D63),2)</f>
        <v>#DIV/0!</v>
      </c>
      <c r="E64" s="156">
        <f t="shared" ref="E64" si="5">ROUND(E59,0)-ROUND(SUM(E60:E63),0)</f>
        <v>0</v>
      </c>
      <c r="F64" s="234" t="e">
        <f>ROUND(F59,2)-ROUND(SUM(F60:F63),2)</f>
        <v>#DIV/0!</v>
      </c>
      <c r="G64" s="268"/>
      <c r="H64" s="268"/>
      <c r="I64" s="268"/>
      <c r="J64" s="310"/>
      <c r="O64" s="130" t="s">
        <v>114</v>
      </c>
    </row>
    <row r="65" spans="1:15" ht="15.75" thickBot="1" x14ac:dyDescent="0.3">
      <c r="A65" s="305"/>
      <c r="B65" s="263"/>
      <c r="C65" s="482" t="e">
        <f>IF(AND(C64&gt;0,E64&gt;0),"CONTRIBUTION EN ESPÈCE ET EN NATURE INSUFFISANTE",IF(C64&gt;0,"CONTRIBUTION EN ESPÈCE INSUFFISANTE",IF(E64&gt;0,"CONTRIBUTION EN NATURE INSUFFISANTE","OK")))</f>
        <v>#DIV/0!</v>
      </c>
      <c r="D65" s="483"/>
      <c r="E65" s="483"/>
      <c r="F65" s="484"/>
      <c r="G65" s="269"/>
      <c r="H65" s="269"/>
      <c r="I65" s="269"/>
      <c r="J65" s="311"/>
      <c r="O65" s="129" t="s">
        <v>91</v>
      </c>
    </row>
    <row r="66" spans="1:15" x14ac:dyDescent="0.25">
      <c r="A66" s="305"/>
      <c r="B66" s="264"/>
      <c r="C66" s="267"/>
      <c r="D66" s="267"/>
      <c r="E66" s="267"/>
      <c r="F66" s="267"/>
      <c r="G66" s="270"/>
      <c r="H66" s="270"/>
      <c r="I66" s="270"/>
      <c r="J66" s="312"/>
      <c r="K66" s="151"/>
    </row>
    <row r="67" spans="1:15" ht="15" customHeight="1" x14ac:dyDescent="0.25">
      <c r="A67" s="305"/>
      <c r="B67" s="265"/>
      <c r="C67" s="485" t="s">
        <v>95</v>
      </c>
      <c r="D67" s="485"/>
      <c r="E67" s="485"/>
      <c r="F67" s="485"/>
      <c r="G67" s="271"/>
      <c r="H67" s="272"/>
      <c r="I67" s="268"/>
      <c r="J67" s="312"/>
      <c r="K67" s="151"/>
    </row>
    <row r="68" spans="1:15" ht="14.45" customHeight="1" x14ac:dyDescent="0.25">
      <c r="A68" s="305"/>
      <c r="B68" s="265"/>
      <c r="C68" s="479" t="s">
        <v>96</v>
      </c>
      <c r="D68" s="480"/>
      <c r="E68" s="479" t="s">
        <v>97</v>
      </c>
      <c r="F68" s="480"/>
      <c r="G68" s="472" t="s">
        <v>139</v>
      </c>
      <c r="H68" s="473"/>
      <c r="I68" s="258" t="s">
        <v>59</v>
      </c>
      <c r="J68" s="312"/>
      <c r="K68" s="151"/>
    </row>
    <row r="69" spans="1:15" x14ac:dyDescent="0.25">
      <c r="A69" s="305"/>
      <c r="B69" s="266"/>
      <c r="C69" s="224" t="str">
        <f>IF(TRL="2-3",IF(TransMedTech="Sans TransMedTech",'TRL1-3'!C52,'iTMT TRL1-3'!C52),IF(TransMedTech="Sans TransMedTech",'TRL4-6'!C54,'iTMT TRL4-6'!C53))</f>
        <v>$$$</v>
      </c>
      <c r="D69" s="224" t="str">
        <f>IF(TRL="2-3",IF(TransMedTech="Sans TransMedTech",'TRL1-3'!D52,'iTMT TRL1-3'!D52),IF(TransMedTech="Sans TransMedTech",'TRL4-6'!D54,'iTMT TRL4-6'!D53))</f>
        <v>%</v>
      </c>
      <c r="E69" s="224" t="str">
        <f>IF(TRL="2-3",IF(TransMedTech="Sans TransMedTech",'TRL1-3'!E52,'iTMT TRL1-3'!E52),IF(TransMedTech="Sans TransMedTech",'TRL4-6'!E54,'iTMT TRL4-6'!E53))</f>
        <v>$$$</v>
      </c>
      <c r="F69" s="224" t="str">
        <f>IF(TRL="2-3",IF(TransMedTech="Sans TransMedTech",'TRL1-3'!F52,'iTMT TRL1-3'!F52),IF(TransMedTech="Sans TransMedTech",'TRL4-6'!F54,'iTMT TRL4-6'!F53))</f>
        <v>%</v>
      </c>
      <c r="G69" s="504">
        <f>LOOKUP(Etablissement,Feuil1!D42:D64,Feuil1!E42:E64)</f>
        <v>0.27</v>
      </c>
      <c r="H69" s="505"/>
      <c r="I69" s="259"/>
      <c r="J69" s="312"/>
      <c r="K69" s="151"/>
    </row>
    <row r="70" spans="1:15" x14ac:dyDescent="0.25">
      <c r="A70" s="305"/>
      <c r="B70" s="252" t="s">
        <v>1</v>
      </c>
      <c r="C70" s="225" t="e">
        <f>IF(TRL="2-3",IF(TransMedTech="Sans / Without TransMedTech",'TRL1-3'!C16,'iTMT TRL1-3'!C16),IF(TransMedTech="Sans TransMedTech",'TRL4-6'!C17,'iTMT TRL4-6'!C17))</f>
        <v>#DIV/0!</v>
      </c>
      <c r="D70" s="226" t="e">
        <f>C70/G53</f>
        <v>#DIV/0!</v>
      </c>
      <c r="E70" s="227" t="s">
        <v>92</v>
      </c>
      <c r="F70" s="228" t="s">
        <v>92</v>
      </c>
      <c r="G70" s="506" t="s">
        <v>92</v>
      </c>
      <c r="H70" s="507"/>
      <c r="I70" s="260" t="e">
        <f>SUM(C70,E70,G70)</f>
        <v>#DIV/0!</v>
      </c>
      <c r="J70" s="312"/>
      <c r="K70" s="151"/>
    </row>
    <row r="71" spans="1:15" x14ac:dyDescent="0.25">
      <c r="A71" s="305"/>
      <c r="B71" s="252" t="s">
        <v>2</v>
      </c>
      <c r="C71" s="225" t="e">
        <f>IF(TRL="2-3",IF(TransMedTech="Sans / Without TransMedTech",'TRL1-3'!C17,'iTMT TRL1-3'!C17),IF(TransMedTech="Sans TransMedTech",'TRL4-6'!C18,'iTMT TRL4-6'!C18))</f>
        <v>#DIV/0!</v>
      </c>
      <c r="D71" s="226" t="e">
        <f>C71/G53</f>
        <v>#DIV/0!</v>
      </c>
      <c r="E71" s="227" t="s">
        <v>92</v>
      </c>
      <c r="F71" s="228" t="s">
        <v>92</v>
      </c>
      <c r="G71" s="506" t="s">
        <v>92</v>
      </c>
      <c r="H71" s="507"/>
      <c r="I71" s="260" t="e">
        <f>SUM(C71,E71,G71)</f>
        <v>#DIV/0!</v>
      </c>
      <c r="J71" s="312"/>
      <c r="K71" s="151"/>
    </row>
    <row r="72" spans="1:15" x14ac:dyDescent="0.25">
      <c r="A72" s="305"/>
      <c r="B72" s="252" t="s">
        <v>41</v>
      </c>
      <c r="C72" s="225">
        <f>IF(TRL="2-3",IF(TransMedTech="Sans / Without TransMedTech",'TRL1-3'!C15,'iTMT TRL1-3'!C15),IF(TransMedTech="Sans TransMedTech",'TRL4-6'!C16,'iTMT TRL4-6'!C16))</f>
        <v>0</v>
      </c>
      <c r="D72" s="226" t="e">
        <f>C72/G53</f>
        <v>#DIV/0!</v>
      </c>
      <c r="E72" s="227" t="s">
        <v>92</v>
      </c>
      <c r="F72" s="228" t="s">
        <v>92</v>
      </c>
      <c r="G72" s="508" t="e">
        <f>SUM(G30,G31,G34,G35,G39)*D72*G69</f>
        <v>#DIV/0!</v>
      </c>
      <c r="H72" s="509"/>
      <c r="I72" s="260" t="e">
        <f>SUM(C72,E72,G72)</f>
        <v>#DIV/0!</v>
      </c>
      <c r="J72" s="312"/>
      <c r="K72" s="151"/>
    </row>
    <row r="73" spans="1:15" x14ac:dyDescent="0.25">
      <c r="A73" s="305"/>
      <c r="B73" s="252" t="str">
        <f>IF(TransMedTech="Sans / Without TransMedTech","","Institut TransMedTech")</f>
        <v>Institut TransMedTech</v>
      </c>
      <c r="C73" s="225">
        <f>IF(TRL="2-3",IF(TransMedTech="Sans / Without TransMedTech","",'iTMT TRL1-3'!C18),IF(TransMedTech="Sans / Without TransMedTech","",'iTMT TRL4-6'!C19))</f>
        <v>0</v>
      </c>
      <c r="D73" s="226" t="e">
        <f>IF(TransMedTech="Sans / Without TransMedTech","",C73/G53)</f>
        <v>#DIV/0!</v>
      </c>
      <c r="E73" s="227" t="str">
        <f>IF(TransMedTech="Sans / Without TransMedTech","","N/A")</f>
        <v>N/A</v>
      </c>
      <c r="F73" s="235" t="str">
        <f>IF(TransMedTech="Sans / Without TransMedTech","","N/A")</f>
        <v>N/A</v>
      </c>
      <c r="G73" s="506" t="str">
        <f>IF(TransMedTech="Sans / Without TransMedTech","","N/A")</f>
        <v>N/A</v>
      </c>
      <c r="H73" s="507"/>
      <c r="I73" s="260">
        <f>IF(TransMedTech="Sans / Without TransMedTech","",SUM(C73,E73,G73))</f>
        <v>0</v>
      </c>
      <c r="J73" s="312"/>
      <c r="K73" s="151"/>
    </row>
    <row r="74" spans="1:15" ht="15.75" thickBot="1" x14ac:dyDescent="0.3">
      <c r="A74" s="305"/>
      <c r="B74" s="253" t="s">
        <v>352</v>
      </c>
      <c r="C74" s="254" t="e">
        <f>SUM(C70:C73)</f>
        <v>#DIV/0!</v>
      </c>
      <c r="D74" s="255" t="e">
        <f>SUM(D70:D73)</f>
        <v>#DIV/0!</v>
      </c>
      <c r="E74" s="256">
        <f>SUM(E70:E72)</f>
        <v>0</v>
      </c>
      <c r="F74" s="257">
        <v>0</v>
      </c>
      <c r="G74" s="510" t="s">
        <v>92</v>
      </c>
      <c r="H74" s="511"/>
      <c r="I74" s="261" t="e">
        <f>SUM(I70:I72)</f>
        <v>#DIV/0!</v>
      </c>
      <c r="J74" s="312"/>
      <c r="K74" s="151"/>
    </row>
    <row r="75" spans="1:15" x14ac:dyDescent="0.25">
      <c r="A75" s="305"/>
      <c r="B75" s="305"/>
      <c r="C75" s="305"/>
      <c r="D75" s="305"/>
      <c r="E75" s="305"/>
      <c r="F75" s="305"/>
      <c r="G75" s="305"/>
      <c r="H75" s="305"/>
      <c r="I75" s="305"/>
      <c r="J75" s="305"/>
      <c r="K75" s="151"/>
    </row>
    <row r="76" spans="1:15" ht="15.75" thickBot="1" x14ac:dyDescent="0.3">
      <c r="A76" s="305"/>
      <c r="B76" s="305"/>
      <c r="C76" s="305"/>
      <c r="D76" s="305"/>
      <c r="E76" s="305"/>
      <c r="F76" s="305"/>
      <c r="G76" s="305"/>
      <c r="H76" s="305"/>
      <c r="I76" s="305"/>
      <c r="J76" s="305"/>
    </row>
    <row r="77" spans="1:15" ht="14.45" customHeight="1" x14ac:dyDescent="0.25">
      <c r="A77" s="305"/>
      <c r="B77" s="491" t="s">
        <v>338</v>
      </c>
      <c r="C77" s="492"/>
      <c r="D77" s="492"/>
      <c r="E77" s="492"/>
      <c r="F77" s="492"/>
      <c r="G77" s="492"/>
      <c r="H77" s="493"/>
      <c r="I77" s="305"/>
      <c r="J77" s="305"/>
    </row>
    <row r="78" spans="1:15" ht="15" customHeight="1" thickBot="1" x14ac:dyDescent="0.3">
      <c r="A78" s="305"/>
      <c r="B78" s="494"/>
      <c r="C78" s="495"/>
      <c r="D78" s="495"/>
      <c r="E78" s="495"/>
      <c r="F78" s="495"/>
      <c r="G78" s="495"/>
      <c r="H78" s="496"/>
      <c r="I78" s="305"/>
      <c r="J78" s="305"/>
    </row>
    <row r="79" spans="1:15" ht="15.75" thickBot="1" x14ac:dyDescent="0.3">
      <c r="A79" s="305"/>
      <c r="B79" s="305"/>
      <c r="C79" s="305"/>
      <c r="D79" s="305"/>
      <c r="E79" s="305"/>
      <c r="F79" s="305"/>
      <c r="G79" s="305"/>
      <c r="H79" s="305"/>
      <c r="I79" s="305"/>
      <c r="J79" s="305"/>
    </row>
    <row r="80" spans="1:15" ht="16.5" thickBot="1" x14ac:dyDescent="0.3">
      <c r="A80" s="305"/>
      <c r="B80" s="497" t="s">
        <v>353</v>
      </c>
      <c r="C80" s="498"/>
      <c r="D80" s="498"/>
      <c r="E80" s="498"/>
      <c r="F80" s="498"/>
      <c r="G80" s="498"/>
      <c r="H80" s="499"/>
      <c r="I80" s="305"/>
      <c r="J80" s="305"/>
    </row>
    <row r="81" spans="1:10" ht="20.25" customHeight="1" x14ac:dyDescent="0.25">
      <c r="A81" s="305"/>
      <c r="B81" s="286" t="s">
        <v>209</v>
      </c>
      <c r="C81" s="500">
        <f>C24</f>
        <v>0</v>
      </c>
      <c r="D81" s="501"/>
      <c r="E81" s="149"/>
      <c r="F81" s="149"/>
      <c r="G81" s="149"/>
      <c r="H81" s="150"/>
      <c r="I81" s="305"/>
      <c r="J81" s="305"/>
    </row>
    <row r="82" spans="1:10" ht="18" customHeight="1" x14ac:dyDescent="0.25">
      <c r="A82" s="305"/>
      <c r="B82" s="285" t="s">
        <v>210</v>
      </c>
      <c r="C82" s="502">
        <f>IF(C25="","",C25)</f>
        <v>0</v>
      </c>
      <c r="D82" s="503"/>
      <c r="E82" s="149"/>
      <c r="F82" s="149"/>
      <c r="G82" s="149"/>
      <c r="H82" s="150"/>
      <c r="I82" s="305"/>
      <c r="J82" s="305"/>
    </row>
    <row r="83" spans="1:10" ht="19.5" customHeight="1" x14ac:dyDescent="0.25">
      <c r="A83" s="305"/>
      <c r="B83" s="285" t="s">
        <v>211</v>
      </c>
      <c r="C83" s="502" t="str">
        <f>Etablissement</f>
        <v>Sélectionnez / Select</v>
      </c>
      <c r="D83" s="503"/>
      <c r="E83" s="149"/>
      <c r="F83" s="149"/>
      <c r="G83" s="149"/>
      <c r="H83" s="150"/>
      <c r="I83" s="305"/>
      <c r="J83" s="305"/>
    </row>
    <row r="84" spans="1:10" ht="20.25" customHeight="1" x14ac:dyDescent="0.25">
      <c r="A84" s="305"/>
      <c r="B84" s="285" t="s">
        <v>212</v>
      </c>
      <c r="C84" s="502" t="e">
        <f>IF(#REF!="Sélectionnez","",#REF!)</f>
        <v>#REF!</v>
      </c>
      <c r="D84" s="503"/>
      <c r="E84" s="149"/>
      <c r="F84" s="149"/>
      <c r="G84" s="149"/>
      <c r="H84" s="150"/>
      <c r="I84" s="305"/>
      <c r="J84" s="305"/>
    </row>
    <row r="85" spans="1:10" ht="20.25" customHeight="1" x14ac:dyDescent="0.25">
      <c r="A85" s="305"/>
      <c r="B85" s="366" t="s">
        <v>196</v>
      </c>
      <c r="C85" s="502" t="str">
        <f>IF(TRL="Sélectionnez","",TRL)</f>
        <v>Sélectionnez / Select</v>
      </c>
      <c r="D85" s="503"/>
      <c r="E85" s="149"/>
      <c r="F85" s="149"/>
      <c r="G85" s="149"/>
      <c r="H85" s="150"/>
      <c r="I85" s="305"/>
      <c r="J85" s="305"/>
    </row>
    <row r="86" spans="1:10" ht="33.75" customHeight="1" thickBot="1" x14ac:dyDescent="0.3">
      <c r="A86" s="305"/>
      <c r="B86" s="364" t="s">
        <v>341</v>
      </c>
      <c r="C86" s="516">
        <f>G53</f>
        <v>0</v>
      </c>
      <c r="D86" s="517"/>
      <c r="E86" s="149"/>
      <c r="F86" s="149"/>
      <c r="G86" s="149"/>
      <c r="H86" s="150"/>
      <c r="I86" s="305"/>
      <c r="J86" s="305"/>
    </row>
    <row r="87" spans="1:10" x14ac:dyDescent="0.25">
      <c r="A87" s="305"/>
      <c r="B87" s="518" t="s">
        <v>354</v>
      </c>
      <c r="C87" s="521" t="str">
        <f>"- "&amp;B60</f>
        <v>- 0</v>
      </c>
      <c r="D87" s="522"/>
      <c r="E87" s="149"/>
      <c r="F87" s="149"/>
      <c r="G87" s="149"/>
      <c r="H87" s="150"/>
      <c r="I87" s="305"/>
      <c r="J87" s="305"/>
    </row>
    <row r="88" spans="1:10" x14ac:dyDescent="0.25">
      <c r="A88" s="305"/>
      <c r="B88" s="519"/>
      <c r="C88" s="523" t="str">
        <f t="shared" ref="C88:C90" si="6">"- "&amp;B61</f>
        <v>- 0</v>
      </c>
      <c r="D88" s="524"/>
      <c r="E88" s="149"/>
      <c r="F88" s="149"/>
      <c r="G88" s="149"/>
      <c r="H88" s="150"/>
      <c r="I88" s="305"/>
      <c r="J88" s="305"/>
    </row>
    <row r="89" spans="1:10" x14ac:dyDescent="0.25">
      <c r="A89" s="305"/>
      <c r="B89" s="519"/>
      <c r="C89" s="523" t="str">
        <f t="shared" si="6"/>
        <v>- 0</v>
      </c>
      <c r="D89" s="524"/>
      <c r="E89" s="149"/>
      <c r="F89" s="149"/>
      <c r="G89" s="149"/>
      <c r="H89" s="150"/>
      <c r="I89" s="305"/>
      <c r="J89" s="305"/>
    </row>
    <row r="90" spans="1:10" ht="15.75" thickBot="1" x14ac:dyDescent="0.3">
      <c r="A90" s="305"/>
      <c r="B90" s="520"/>
      <c r="C90" s="525" t="str">
        <f t="shared" si="6"/>
        <v>- 0</v>
      </c>
      <c r="D90" s="526"/>
      <c r="E90" s="149"/>
      <c r="F90" s="149"/>
      <c r="G90" s="149"/>
      <c r="H90" s="150"/>
      <c r="I90" s="305"/>
      <c r="J90" s="305"/>
    </row>
    <row r="91" spans="1:10" ht="16.5" thickBot="1" x14ac:dyDescent="0.3">
      <c r="A91" s="305"/>
      <c r="B91" s="497" t="s">
        <v>148</v>
      </c>
      <c r="C91" s="498"/>
      <c r="D91" s="498"/>
      <c r="E91" s="498"/>
      <c r="F91" s="498"/>
      <c r="G91" s="498"/>
      <c r="H91" s="499"/>
      <c r="I91" s="305"/>
      <c r="J91" s="305"/>
    </row>
    <row r="92" spans="1:10" x14ac:dyDescent="0.25">
      <c r="A92" s="305"/>
      <c r="B92" s="245" t="s">
        <v>155</v>
      </c>
      <c r="C92" s="243" t="s">
        <v>149</v>
      </c>
      <c r="D92" s="247" t="s">
        <v>104</v>
      </c>
      <c r="E92" s="147"/>
      <c r="F92" s="147"/>
      <c r="G92" s="147"/>
      <c r="H92" s="148"/>
      <c r="I92" s="305"/>
      <c r="J92" s="305"/>
    </row>
    <row r="93" spans="1:10" x14ac:dyDescent="0.25">
      <c r="A93" s="305"/>
      <c r="B93" s="287" t="s">
        <v>110</v>
      </c>
      <c r="C93" s="288" t="e">
        <f>C59+E59</f>
        <v>#DIV/0!</v>
      </c>
      <c r="D93" s="297" t="e">
        <f>D59+F59</f>
        <v>#DIV/0!</v>
      </c>
      <c r="E93" s="157"/>
      <c r="F93" s="157"/>
      <c r="G93" s="157"/>
      <c r="H93" s="158"/>
      <c r="I93" s="305"/>
      <c r="J93" s="305"/>
    </row>
    <row r="94" spans="1:10" x14ac:dyDescent="0.25">
      <c r="A94" s="305"/>
      <c r="B94" s="289" t="str">
        <f t="shared" ref="B94:D97" si="7">B70</f>
        <v>Oncopole</v>
      </c>
      <c r="C94" s="290" t="e">
        <f t="shared" si="7"/>
        <v>#DIV/0!</v>
      </c>
      <c r="D94" s="298" t="e">
        <f t="shared" si="7"/>
        <v>#DIV/0!</v>
      </c>
      <c r="E94" s="149"/>
      <c r="F94" s="149"/>
      <c r="G94" s="149"/>
      <c r="H94" s="150"/>
      <c r="I94" s="305"/>
      <c r="J94" s="305"/>
    </row>
    <row r="95" spans="1:10" x14ac:dyDescent="0.25">
      <c r="A95" s="305"/>
      <c r="B95" s="289" t="str">
        <f t="shared" si="7"/>
        <v>SRC</v>
      </c>
      <c r="C95" s="290" t="e">
        <f t="shared" si="7"/>
        <v>#DIV/0!</v>
      </c>
      <c r="D95" s="298" t="e">
        <f t="shared" si="7"/>
        <v>#DIV/0!</v>
      </c>
      <c r="E95" s="149"/>
      <c r="F95" s="149"/>
      <c r="G95" s="149"/>
      <c r="H95" s="150"/>
      <c r="I95" s="305"/>
      <c r="J95" s="305"/>
    </row>
    <row r="96" spans="1:10" x14ac:dyDescent="0.25">
      <c r="A96" s="305"/>
      <c r="B96" s="289" t="str">
        <f t="shared" si="7"/>
        <v>MEDTEQ</v>
      </c>
      <c r="C96" s="290">
        <f t="shared" si="7"/>
        <v>0</v>
      </c>
      <c r="D96" s="298" t="e">
        <f t="shared" si="7"/>
        <v>#DIV/0!</v>
      </c>
      <c r="E96" s="149"/>
      <c r="F96" s="149"/>
      <c r="G96" s="149"/>
      <c r="H96" s="150"/>
      <c r="I96" s="305"/>
      <c r="J96" s="305"/>
    </row>
    <row r="97" spans="1:10" ht="15.75" thickBot="1" x14ac:dyDescent="0.3">
      <c r="A97" s="305"/>
      <c r="B97" s="299" t="str">
        <f t="shared" si="7"/>
        <v>Institut TransMedTech</v>
      </c>
      <c r="C97" s="300">
        <f t="shared" si="7"/>
        <v>0</v>
      </c>
      <c r="D97" s="301" t="e">
        <f t="shared" si="7"/>
        <v>#DIV/0!</v>
      </c>
      <c r="E97" s="149"/>
      <c r="F97" s="149"/>
      <c r="G97" s="149"/>
      <c r="H97" s="150"/>
      <c r="I97" s="305"/>
      <c r="J97" s="305"/>
    </row>
    <row r="98" spans="1:10" ht="16.5" thickBot="1" x14ac:dyDescent="0.3">
      <c r="A98" s="305"/>
      <c r="B98" s="497" t="s">
        <v>191</v>
      </c>
      <c r="C98" s="498"/>
      <c r="D98" s="498"/>
      <c r="E98" s="498"/>
      <c r="F98" s="498"/>
      <c r="G98" s="498"/>
      <c r="H98" s="499"/>
      <c r="I98" s="305"/>
      <c r="J98" s="305"/>
    </row>
    <row r="99" spans="1:10" x14ac:dyDescent="0.25">
      <c r="A99" s="305"/>
      <c r="B99" s="245" t="s">
        <v>110</v>
      </c>
      <c r="C99" s="242" t="s">
        <v>150</v>
      </c>
      <c r="D99" s="242" t="s">
        <v>151</v>
      </c>
      <c r="E99" s="242" t="s">
        <v>57</v>
      </c>
      <c r="F99" s="513" t="s">
        <v>152</v>
      </c>
      <c r="G99" s="514"/>
      <c r="H99" s="248" t="s">
        <v>153</v>
      </c>
      <c r="I99" s="305"/>
      <c r="J99" s="305"/>
    </row>
    <row r="100" spans="1:10" x14ac:dyDescent="0.25">
      <c r="A100" s="305"/>
      <c r="B100" s="291">
        <f>B60</f>
        <v>0</v>
      </c>
      <c r="C100" s="290" t="e">
        <f>C60-D100</f>
        <v>#DIV/0!</v>
      </c>
      <c r="D100" s="288" t="e">
        <f>$G47*(FIR_Ind/D59)</f>
        <v>#DIV/0!</v>
      </c>
      <c r="E100" s="290">
        <f>G60</f>
        <v>0</v>
      </c>
      <c r="F100" s="515">
        <f>I60</f>
        <v>0</v>
      </c>
      <c r="G100" s="515"/>
      <c r="H100" s="292" t="e">
        <f>SUM(C100:G100)</f>
        <v>#DIV/0!</v>
      </c>
      <c r="I100" s="305"/>
      <c r="J100" s="305"/>
    </row>
    <row r="101" spans="1:10" x14ac:dyDescent="0.25">
      <c r="A101" s="305"/>
      <c r="B101" s="291">
        <f>B61</f>
        <v>0</v>
      </c>
      <c r="C101" s="290" t="e">
        <f t="shared" ref="C101:C103" si="8">C61-D101</f>
        <v>#DIV/0!</v>
      </c>
      <c r="D101" s="288" t="e">
        <f>G47*D61/D59</f>
        <v>#DIV/0!</v>
      </c>
      <c r="E101" s="290">
        <f>G61</f>
        <v>0</v>
      </c>
      <c r="F101" s="515">
        <f t="shared" ref="F101:F103" si="9">I61</f>
        <v>0</v>
      </c>
      <c r="G101" s="515"/>
      <c r="H101" s="292" t="e">
        <f t="shared" ref="H101:H103" si="10">SUM(C101:G101)</f>
        <v>#DIV/0!</v>
      </c>
      <c r="I101" s="305"/>
      <c r="J101" s="305"/>
    </row>
    <row r="102" spans="1:10" x14ac:dyDescent="0.25">
      <c r="A102" s="305"/>
      <c r="B102" s="291">
        <f>B62</f>
        <v>0</v>
      </c>
      <c r="C102" s="290" t="e">
        <f t="shared" si="8"/>
        <v>#DIV/0!</v>
      </c>
      <c r="D102" s="288" t="e">
        <f>$G47*(D62/D59)</f>
        <v>#DIV/0!</v>
      </c>
      <c r="E102" s="290">
        <f t="shared" ref="E102:E103" si="11">G62</f>
        <v>0</v>
      </c>
      <c r="F102" s="515">
        <f t="shared" si="9"/>
        <v>0</v>
      </c>
      <c r="G102" s="515"/>
      <c r="H102" s="292" t="e">
        <f t="shared" si="10"/>
        <v>#DIV/0!</v>
      </c>
      <c r="I102" s="305"/>
      <c r="J102" s="305"/>
    </row>
    <row r="103" spans="1:10" ht="15.75" thickBot="1" x14ac:dyDescent="0.3">
      <c r="A103" s="305"/>
      <c r="B103" s="293">
        <f>B63</f>
        <v>0</v>
      </c>
      <c r="C103" s="295" t="e">
        <f t="shared" si="8"/>
        <v>#DIV/0!</v>
      </c>
      <c r="D103" s="294" t="e">
        <f>$G47*(D63/D59)</f>
        <v>#DIV/0!</v>
      </c>
      <c r="E103" s="295">
        <f t="shared" si="11"/>
        <v>0</v>
      </c>
      <c r="F103" s="512">
        <f t="shared" si="9"/>
        <v>0</v>
      </c>
      <c r="G103" s="512"/>
      <c r="H103" s="296" t="e">
        <f t="shared" si="10"/>
        <v>#DIV/0!</v>
      </c>
      <c r="I103" s="305"/>
      <c r="J103" s="305"/>
    </row>
    <row r="104" spans="1:10" x14ac:dyDescent="0.25">
      <c r="A104" s="305"/>
      <c r="B104" s="305"/>
      <c r="C104" s="305"/>
      <c r="D104" s="305"/>
      <c r="E104" s="305"/>
      <c r="F104" s="305"/>
      <c r="G104" s="305"/>
      <c r="H104" s="305"/>
      <c r="I104" s="305"/>
      <c r="J104" s="305"/>
    </row>
    <row r="105" spans="1:10" x14ac:dyDescent="0.25">
      <c r="A105" s="305"/>
      <c r="B105" s="305"/>
      <c r="C105" s="305"/>
      <c r="D105" s="305"/>
      <c r="E105" s="305"/>
      <c r="F105" s="305"/>
      <c r="G105" s="305"/>
      <c r="H105" s="305"/>
      <c r="I105" s="305"/>
      <c r="J105" s="305"/>
    </row>
    <row r="106" spans="1:10" x14ac:dyDescent="0.25">
      <c r="A106" s="305"/>
      <c r="B106" s="305"/>
      <c r="C106" s="305"/>
      <c r="D106" s="305"/>
      <c r="E106" s="305"/>
      <c r="F106" s="305"/>
      <c r="G106" s="305"/>
      <c r="H106" s="305"/>
      <c r="I106" s="305"/>
      <c r="J106" s="305"/>
    </row>
    <row r="107" spans="1:10" x14ac:dyDescent="0.25">
      <c r="A107" s="305"/>
      <c r="B107" s="305"/>
      <c r="C107" s="305"/>
      <c r="D107" s="305"/>
      <c r="E107" s="305"/>
      <c r="F107" s="305"/>
      <c r="G107" s="305"/>
      <c r="H107" s="305"/>
      <c r="I107" s="305"/>
      <c r="J107" s="305"/>
    </row>
    <row r="108" spans="1:10" x14ac:dyDescent="0.25">
      <c r="A108" s="305"/>
    </row>
  </sheetData>
  <protectedRanges>
    <protectedRange sqref="C60:C63 E60:E63" name="Coût des industriels"/>
    <protectedRange sqref="H34:H36 H38:H40 H42 G51 H30:H32 C30:F32 C34:F36 C38:F40 C42:F42" name="Budget de recherche"/>
    <protectedRange sqref="E22:I25" name="Info industriels"/>
    <protectedRange sqref="C20:C25" name="Info projet"/>
  </protectedRanges>
  <mergeCells count="123">
    <mergeCell ref="F103:G103"/>
    <mergeCell ref="B91:H91"/>
    <mergeCell ref="B98:H98"/>
    <mergeCell ref="F99:G99"/>
    <mergeCell ref="F100:G100"/>
    <mergeCell ref="F101:G101"/>
    <mergeCell ref="F102:G102"/>
    <mergeCell ref="C85:D85"/>
    <mergeCell ref="C86:D86"/>
    <mergeCell ref="B87:B90"/>
    <mergeCell ref="C87:D87"/>
    <mergeCell ref="C88:D88"/>
    <mergeCell ref="C89:D89"/>
    <mergeCell ref="C90:D90"/>
    <mergeCell ref="B77:H78"/>
    <mergeCell ref="B80:H80"/>
    <mergeCell ref="C81:D81"/>
    <mergeCell ref="C82:D82"/>
    <mergeCell ref="C83:D83"/>
    <mergeCell ref="C84:D84"/>
    <mergeCell ref="G69:H69"/>
    <mergeCell ref="G70:H70"/>
    <mergeCell ref="G71:H71"/>
    <mergeCell ref="G72:H72"/>
    <mergeCell ref="G73:H73"/>
    <mergeCell ref="G74:H74"/>
    <mergeCell ref="G63:H63"/>
    <mergeCell ref="C65:F65"/>
    <mergeCell ref="C67:F67"/>
    <mergeCell ref="C68:D68"/>
    <mergeCell ref="E68:F68"/>
    <mergeCell ref="G68:H68"/>
    <mergeCell ref="E57:F57"/>
    <mergeCell ref="G58:H58"/>
    <mergeCell ref="G59:H59"/>
    <mergeCell ref="G60:H60"/>
    <mergeCell ref="G61:H61"/>
    <mergeCell ref="G62:H62"/>
    <mergeCell ref="G51:H51"/>
    <mergeCell ref="C52:D52"/>
    <mergeCell ref="G53:H53"/>
    <mergeCell ref="B55:J55"/>
    <mergeCell ref="B56:B57"/>
    <mergeCell ref="C56:F56"/>
    <mergeCell ref="G56:H57"/>
    <mergeCell ref="I56:I58"/>
    <mergeCell ref="J56:J57"/>
    <mergeCell ref="C57:D57"/>
    <mergeCell ref="C47:D47"/>
    <mergeCell ref="E47:F47"/>
    <mergeCell ref="G47:H47"/>
    <mergeCell ref="C49:D49"/>
    <mergeCell ref="E49:F49"/>
    <mergeCell ref="G49:H49"/>
    <mergeCell ref="C45:D45"/>
    <mergeCell ref="E45:F45"/>
    <mergeCell ref="G45:H45"/>
    <mergeCell ref="C46:D46"/>
    <mergeCell ref="E46:F46"/>
    <mergeCell ref="G46:H46"/>
    <mergeCell ref="C42:D42"/>
    <mergeCell ref="E42:F42"/>
    <mergeCell ref="G42:H42"/>
    <mergeCell ref="C43:D43"/>
    <mergeCell ref="E43:F43"/>
    <mergeCell ref="G43:H43"/>
    <mergeCell ref="C40:D40"/>
    <mergeCell ref="E40:F40"/>
    <mergeCell ref="G40:H40"/>
    <mergeCell ref="C41:D41"/>
    <mergeCell ref="E41:F41"/>
    <mergeCell ref="G41:H41"/>
    <mergeCell ref="C38:D38"/>
    <mergeCell ref="E38:F38"/>
    <mergeCell ref="G38:H38"/>
    <mergeCell ref="C39:D39"/>
    <mergeCell ref="E39:F39"/>
    <mergeCell ref="G39:H39"/>
    <mergeCell ref="C36:D36"/>
    <mergeCell ref="E36:F36"/>
    <mergeCell ref="G36:H36"/>
    <mergeCell ref="C37:D37"/>
    <mergeCell ref="E37:F37"/>
    <mergeCell ref="G37:H37"/>
    <mergeCell ref="C34:D34"/>
    <mergeCell ref="E34:F34"/>
    <mergeCell ref="G34:H34"/>
    <mergeCell ref="C35:D35"/>
    <mergeCell ref="E35:F35"/>
    <mergeCell ref="G35:H35"/>
    <mergeCell ref="C32:D32"/>
    <mergeCell ref="E32:F32"/>
    <mergeCell ref="G32:H32"/>
    <mergeCell ref="C33:D33"/>
    <mergeCell ref="E33:F33"/>
    <mergeCell ref="G33:H33"/>
    <mergeCell ref="C30:D30"/>
    <mergeCell ref="E30:F30"/>
    <mergeCell ref="G30:H30"/>
    <mergeCell ref="C31:D31"/>
    <mergeCell ref="E31:F31"/>
    <mergeCell ref="G31:H31"/>
    <mergeCell ref="E25:F25"/>
    <mergeCell ref="B27:H27"/>
    <mergeCell ref="C28:D28"/>
    <mergeCell ref="E28:F28"/>
    <mergeCell ref="G28:H28"/>
    <mergeCell ref="C29:D29"/>
    <mergeCell ref="E29:F29"/>
    <mergeCell ref="G29:H29"/>
    <mergeCell ref="L13:M13"/>
    <mergeCell ref="B19:C19"/>
    <mergeCell ref="E20:I20"/>
    <mergeCell ref="E21:F21"/>
    <mergeCell ref="E22:F22"/>
    <mergeCell ref="E23:F23"/>
    <mergeCell ref="E24:F24"/>
    <mergeCell ref="B11:I11"/>
    <mergeCell ref="B12:I12"/>
    <mergeCell ref="B13:I13"/>
    <mergeCell ref="B14:I14"/>
    <mergeCell ref="B15:I15"/>
    <mergeCell ref="B16:I16"/>
  </mergeCells>
  <conditionalFormatting sqref="C30:C32 E30:E32">
    <cfRule type="containsBlanks" dxfId="65" priority="19">
      <formula>LEN(TRIM(C30))=0</formula>
    </cfRule>
  </conditionalFormatting>
  <conditionalFormatting sqref="C34:C36 E34:E36">
    <cfRule type="containsBlanks" dxfId="64" priority="16">
      <formula>LEN(TRIM(C34))=0</formula>
    </cfRule>
  </conditionalFormatting>
  <conditionalFormatting sqref="C38:C40 E38:E40">
    <cfRule type="containsBlanks" dxfId="63" priority="15">
      <formula>LEN(TRIM(C38))=0</formula>
    </cfRule>
  </conditionalFormatting>
  <conditionalFormatting sqref="C42 E42">
    <cfRule type="containsBlanks" dxfId="62" priority="13">
      <formula>LEN(TRIM(C42))=0</formula>
    </cfRule>
  </conditionalFormatting>
  <conditionalFormatting sqref="C25 C20:C23">
    <cfRule type="cellIs" dxfId="61" priority="12" operator="equal">
      <formula>"Sélectionnez"</formula>
    </cfRule>
  </conditionalFormatting>
  <conditionalFormatting sqref="B65">
    <cfRule type="expression" dxfId="60" priority="11">
      <formula>$D$38=Mitacs</formula>
    </cfRule>
  </conditionalFormatting>
  <conditionalFormatting sqref="C65">
    <cfRule type="cellIs" dxfId="59" priority="5" operator="equal">
      <formula>"OK"</formula>
    </cfRule>
  </conditionalFormatting>
  <conditionalFormatting sqref="B73:I73">
    <cfRule type="cellIs" dxfId="58" priority="10" operator="equal">
      <formula>""</formula>
    </cfRule>
  </conditionalFormatting>
  <conditionalFormatting sqref="G22:I25">
    <cfRule type="cellIs" dxfId="57" priority="9" operator="equal">
      <formula>"Sélectionnez"</formula>
    </cfRule>
  </conditionalFormatting>
  <conditionalFormatting sqref="C64:F64">
    <cfRule type="cellIs" dxfId="56" priority="6" operator="lessThan">
      <formula>0</formula>
    </cfRule>
    <cfRule type="cellIs" dxfId="55" priority="7" operator="greaterThan">
      <formula>0</formula>
    </cfRule>
    <cfRule type="cellIs" dxfId="54" priority="8" operator="equal">
      <formula>0</formula>
    </cfRule>
  </conditionalFormatting>
  <conditionalFormatting sqref="C24:C25">
    <cfRule type="cellIs" dxfId="53" priority="1" operator="equal">
      <formula>""</formula>
    </cfRule>
    <cfRule type="cellIs" dxfId="52" priority="4" operator="equal">
      <formula>"Entrer le nom"</formula>
    </cfRule>
  </conditionalFormatting>
  <conditionalFormatting sqref="C65:F65">
    <cfRule type="cellIs" dxfId="51" priority="3" operator="equal">
      <formula>"""CONTRIBUTION EN ESPÈCE ET EN NATURE INSUFFISANTE"</formula>
    </cfRule>
  </conditionalFormatting>
  <conditionalFormatting sqref="C24">
    <cfRule type="cellIs" dxfId="50" priority="2" operator="equal">
      <formula>"Sélectionnez"</formula>
    </cfRule>
  </conditionalFormatting>
  <conditionalFormatting sqref="G51">
    <cfRule type="cellIs" dxfId="49" priority="74" operator="lessThanOrEqual">
      <formula>IF($C$21="2-3",0,0.25*$G$49)</formula>
    </cfRule>
    <cfRule type="cellIs" dxfId="48" priority="75" operator="greaterThan">
      <formula>IF($C$21="2-3",0,$G$49*0.25)</formula>
    </cfRule>
  </conditionalFormatting>
  <dataValidations count="2">
    <dataValidation type="whole" allowBlank="1" showInputMessage="1" showErrorMessage="1" error="Les montants doivent être des nombres entiers" sqref="C29:G43">
      <formula1>0</formula1>
      <formula2>99999999999</formula2>
    </dataValidation>
    <dataValidation type="list" allowBlank="1" showInputMessage="1" showErrorMessage="1" sqref="C20">
      <formula1>"FRA,ENG"</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Feuil1!$D$68:$D$84</xm:f>
          </x14:formula1>
          <xm:sqref>G22:G25</xm:sqref>
        </x14:dataValidation>
        <x14:dataValidation type="list" allowBlank="1" showInputMessage="1" showErrorMessage="1">
          <x14:formula1>
            <xm:f>Feuil1!$K$31:$K$36</xm:f>
          </x14:formula1>
          <xm:sqref>I22:I25</xm:sqref>
        </x14:dataValidation>
        <x14:dataValidation type="list" allowBlank="1" showInputMessage="1" showErrorMessage="1">
          <x14:formula1>
            <xm:f>Feuil1!$J$31:$J$33</xm:f>
          </x14:formula1>
          <xm:sqref>H22:H25</xm:sqref>
        </x14:dataValidation>
        <x14:dataValidation type="list" allowBlank="1" showInputMessage="1" showErrorMessage="1">
          <x14:formula1>
            <xm:f>Feuil1!$G$31:$G$33</xm:f>
          </x14:formula1>
          <xm:sqref>C21</xm:sqref>
        </x14:dataValidation>
        <x14:dataValidation type="list" allowBlank="1" showInputMessage="1" showErrorMessage="1">
          <x14:formula1>
            <xm:f>Feuil1!$H$31:$H$33</xm:f>
          </x14:formula1>
          <xm:sqref>C22:C25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topLeftCell="A43" zoomScale="85" zoomScaleNormal="85" workbookViewId="0">
      <selection activeCell="B77" sqref="B77:H78"/>
    </sheetView>
  </sheetViews>
  <sheetFormatPr baseColWidth="10" defaultColWidth="9.140625" defaultRowHeight="15" x14ac:dyDescent="0.25"/>
  <cols>
    <col min="2" max="2" width="41.7109375" customWidth="1"/>
    <col min="3" max="3" width="22.140625" customWidth="1"/>
    <col min="4" max="4" width="19.28515625" customWidth="1"/>
    <col min="5" max="5" width="22.85546875" customWidth="1"/>
    <col min="6" max="6" width="11.7109375" customWidth="1"/>
    <col min="7" max="7" width="18.7109375" customWidth="1"/>
    <col min="8" max="8" width="21.28515625" customWidth="1"/>
    <col min="9" max="9" width="29" customWidth="1"/>
    <col min="10" max="10" width="33.85546875" customWidth="1"/>
    <col min="11" max="11" width="32.28515625" bestFit="1" customWidth="1"/>
    <col min="12" max="12" width="15.7109375" customWidth="1"/>
    <col min="13" max="13" width="15.140625" customWidth="1"/>
  </cols>
  <sheetData>
    <row r="1" spans="1:13" x14ac:dyDescent="0.25">
      <c r="A1" s="305"/>
      <c r="B1" s="305"/>
      <c r="C1" s="305"/>
      <c r="D1" s="305"/>
      <c r="E1" s="305"/>
      <c r="F1" s="305"/>
      <c r="G1" s="305"/>
      <c r="H1" s="305"/>
      <c r="I1" s="305"/>
      <c r="J1" s="305"/>
    </row>
    <row r="2" spans="1:13" x14ac:dyDescent="0.25">
      <c r="A2" s="305"/>
      <c r="B2" s="305"/>
      <c r="C2" s="305"/>
      <c r="E2" s="305"/>
      <c r="F2" s="305"/>
      <c r="G2" s="305"/>
      <c r="H2" s="305"/>
      <c r="I2" s="305"/>
      <c r="J2" s="305"/>
    </row>
    <row r="3" spans="1:13" x14ac:dyDescent="0.25">
      <c r="A3" s="305"/>
      <c r="B3" s="305"/>
      <c r="C3" s="305"/>
      <c r="D3" s="305"/>
      <c r="E3" s="305"/>
      <c r="F3" s="305"/>
      <c r="G3" s="305"/>
      <c r="H3" s="305"/>
      <c r="I3" s="305"/>
      <c r="J3" s="305"/>
    </row>
    <row r="4" spans="1:13" x14ac:dyDescent="0.25">
      <c r="A4" s="305"/>
      <c r="B4" s="305"/>
      <c r="C4" s="305"/>
      <c r="D4" s="305"/>
      <c r="E4" s="305"/>
      <c r="F4" s="305"/>
      <c r="G4" s="305"/>
      <c r="H4" s="305"/>
      <c r="I4" s="305"/>
      <c r="J4" s="305"/>
    </row>
    <row r="5" spans="1:13" x14ac:dyDescent="0.25">
      <c r="A5" s="305"/>
      <c r="B5" s="305"/>
      <c r="D5" s="305"/>
      <c r="E5" s="305"/>
      <c r="F5" s="305"/>
      <c r="G5" s="305"/>
      <c r="H5" s="305"/>
      <c r="I5" s="305"/>
      <c r="J5" s="305"/>
    </row>
    <row r="6" spans="1:13" x14ac:dyDescent="0.25">
      <c r="A6" s="305"/>
      <c r="B6" s="305"/>
      <c r="C6" s="305"/>
      <c r="E6" s="305"/>
      <c r="F6" s="305"/>
      <c r="G6" s="305"/>
      <c r="H6" s="305"/>
      <c r="I6" s="305"/>
      <c r="J6" s="305"/>
    </row>
    <row r="7" spans="1:13" x14ac:dyDescent="0.25">
      <c r="A7" s="305"/>
      <c r="B7" s="305"/>
      <c r="C7" s="305"/>
      <c r="D7" s="305"/>
      <c r="E7" s="305"/>
      <c r="F7" s="305"/>
      <c r="G7" s="305"/>
      <c r="H7" s="305"/>
      <c r="I7" s="305"/>
      <c r="J7" s="305"/>
    </row>
    <row r="8" spans="1:13" ht="36" x14ac:dyDescent="0.55000000000000004">
      <c r="A8" s="305"/>
      <c r="B8" s="305"/>
      <c r="C8" s="305"/>
      <c r="D8" s="307" t="s">
        <v>324</v>
      </c>
      <c r="E8" s="305"/>
      <c r="F8" s="305"/>
      <c r="G8" s="305"/>
      <c r="H8" s="305"/>
      <c r="I8" s="305"/>
      <c r="J8" s="305"/>
    </row>
    <row r="9" spans="1:13" x14ac:dyDescent="0.25">
      <c r="A9" s="305"/>
      <c r="B9" s="305"/>
      <c r="C9" s="305"/>
      <c r="D9" s="305"/>
      <c r="E9" s="305"/>
      <c r="F9" s="305"/>
      <c r="G9" s="305"/>
      <c r="H9" s="305"/>
      <c r="I9" s="305"/>
      <c r="J9" s="305"/>
    </row>
    <row r="10" spans="1:13" ht="23.25" x14ac:dyDescent="0.35">
      <c r="A10" s="305"/>
      <c r="B10" s="363" t="s">
        <v>144</v>
      </c>
      <c r="C10" s="305"/>
      <c r="D10" s="305"/>
      <c r="E10" s="305"/>
      <c r="F10" s="305"/>
      <c r="G10" s="305"/>
      <c r="H10" s="305"/>
      <c r="I10" s="305"/>
      <c r="J10" s="305"/>
    </row>
    <row r="11" spans="1:13" ht="28.5" customHeight="1" x14ac:dyDescent="0.3">
      <c r="A11" s="305"/>
      <c r="B11" s="527" t="s">
        <v>346</v>
      </c>
      <c r="C11" s="528"/>
      <c r="D11" s="528"/>
      <c r="E11" s="528"/>
      <c r="F11" s="528"/>
      <c r="G11" s="528"/>
      <c r="H11" s="528"/>
      <c r="I11" s="528"/>
      <c r="J11" s="305"/>
    </row>
    <row r="12" spans="1:13" ht="27" customHeight="1" x14ac:dyDescent="0.3">
      <c r="A12" s="305"/>
      <c r="B12" s="527" t="s">
        <v>355</v>
      </c>
      <c r="C12" s="528"/>
      <c r="D12" s="528"/>
      <c r="E12" s="528"/>
      <c r="F12" s="528"/>
      <c r="G12" s="528"/>
      <c r="H12" s="528"/>
      <c r="I12" s="528"/>
      <c r="J12" s="305"/>
    </row>
    <row r="13" spans="1:13" ht="96" customHeight="1" x14ac:dyDescent="0.25">
      <c r="A13" s="305"/>
      <c r="B13" s="529" t="s">
        <v>357</v>
      </c>
      <c r="C13" s="529"/>
      <c r="D13" s="529"/>
      <c r="E13" s="529"/>
      <c r="F13" s="529"/>
      <c r="G13" s="529"/>
      <c r="H13" s="529"/>
      <c r="I13" s="529"/>
      <c r="J13" s="305"/>
      <c r="K13" s="132"/>
      <c r="L13" s="367" t="s">
        <v>116</v>
      </c>
      <c r="M13" s="367"/>
    </row>
    <row r="14" spans="1:13" ht="43.5" customHeight="1" x14ac:dyDescent="0.25">
      <c r="A14" s="305"/>
      <c r="B14" s="530" t="s">
        <v>356</v>
      </c>
      <c r="C14" s="530"/>
      <c r="D14" s="530"/>
      <c r="E14" s="530"/>
      <c r="F14" s="530"/>
      <c r="G14" s="530"/>
      <c r="H14" s="530"/>
      <c r="I14" s="530"/>
      <c r="J14" s="305"/>
      <c r="K14" s="145" t="s">
        <v>117</v>
      </c>
      <c r="L14" s="145" t="s">
        <v>226</v>
      </c>
      <c r="M14" s="145" t="s">
        <v>41</v>
      </c>
    </row>
    <row r="15" spans="1:13" ht="24.75" customHeight="1" x14ac:dyDescent="0.3">
      <c r="A15" s="305"/>
      <c r="B15" s="528" t="s">
        <v>358</v>
      </c>
      <c r="C15" s="528"/>
      <c r="D15" s="528"/>
      <c r="E15" s="528"/>
      <c r="F15" s="528"/>
      <c r="G15" s="528"/>
      <c r="H15" s="528"/>
      <c r="I15" s="528"/>
      <c r="J15" s="305"/>
      <c r="K15" s="137" t="s">
        <v>227</v>
      </c>
      <c r="L15" s="138">
        <v>0</v>
      </c>
      <c r="M15" s="134"/>
    </row>
    <row r="16" spans="1:13" ht="91.5" customHeight="1" x14ac:dyDescent="0.3">
      <c r="A16" s="305"/>
      <c r="B16" s="531" t="s">
        <v>360</v>
      </c>
      <c r="C16" s="527"/>
      <c r="D16" s="527"/>
      <c r="E16" s="527"/>
      <c r="F16" s="527"/>
      <c r="G16" s="527"/>
      <c r="H16" s="527"/>
      <c r="I16" s="527"/>
      <c r="J16" s="305"/>
      <c r="K16" s="135" t="s">
        <v>118</v>
      </c>
      <c r="L16" s="136">
        <v>0.27</v>
      </c>
      <c r="M16" s="136">
        <v>0.27</v>
      </c>
    </row>
    <row r="17" spans="1:13" ht="18.75" x14ac:dyDescent="0.3">
      <c r="A17" s="305"/>
      <c r="B17" s="365" t="s">
        <v>361</v>
      </c>
      <c r="C17" s="365"/>
      <c r="D17" s="365"/>
      <c r="E17" s="365"/>
      <c r="F17" s="365"/>
      <c r="G17" s="365"/>
      <c r="H17" s="365"/>
      <c r="I17" s="365"/>
      <c r="J17" s="305"/>
      <c r="K17" s="135" t="s">
        <v>119</v>
      </c>
      <c r="L17" s="136">
        <v>0.27</v>
      </c>
      <c r="M17" s="136">
        <v>0.27</v>
      </c>
    </row>
    <row r="18" spans="1:13" ht="15.75" thickBot="1" x14ac:dyDescent="0.3">
      <c r="A18" s="305"/>
      <c r="D18" s="305"/>
      <c r="E18" s="305"/>
      <c r="F18" s="305"/>
      <c r="G18" s="305"/>
      <c r="H18" s="305"/>
      <c r="I18" s="305"/>
      <c r="J18" s="305"/>
      <c r="K18" s="135" t="s">
        <v>120</v>
      </c>
      <c r="L18" s="136">
        <v>0.3</v>
      </c>
      <c r="M18" s="136">
        <v>0.27</v>
      </c>
    </row>
    <row r="19" spans="1:13" ht="15.75" thickBot="1" x14ac:dyDescent="0.3">
      <c r="A19" s="305"/>
      <c r="B19" s="411" t="s">
        <v>334</v>
      </c>
      <c r="C19" s="412"/>
      <c r="D19" s="305"/>
      <c r="E19" s="305"/>
      <c r="F19" s="305"/>
      <c r="G19" s="305"/>
      <c r="H19" s="305"/>
      <c r="I19" s="305"/>
      <c r="J19" s="305"/>
      <c r="K19" s="135" t="s">
        <v>121</v>
      </c>
      <c r="L19" s="136">
        <v>0.3</v>
      </c>
      <c r="M19" s="136">
        <v>0.27</v>
      </c>
    </row>
    <row r="20" spans="1:13" ht="15.75" thickBot="1" x14ac:dyDescent="0.3">
      <c r="A20" s="305"/>
      <c r="B20" s="275" t="s">
        <v>223</v>
      </c>
      <c r="C20" s="276" t="s">
        <v>224</v>
      </c>
      <c r="D20" s="305"/>
      <c r="E20" s="413" t="s">
        <v>284</v>
      </c>
      <c r="F20" s="414"/>
      <c r="G20" s="414"/>
      <c r="H20" s="414"/>
      <c r="I20" s="415"/>
      <c r="J20" s="305"/>
      <c r="K20" s="135" t="s">
        <v>122</v>
      </c>
      <c r="L20" s="136">
        <v>0.3</v>
      </c>
      <c r="M20" s="136">
        <v>0.27</v>
      </c>
    </row>
    <row r="21" spans="1:13" x14ac:dyDescent="0.25">
      <c r="A21" s="305"/>
      <c r="B21" s="275" t="s">
        <v>335</v>
      </c>
      <c r="C21" s="276" t="s">
        <v>256</v>
      </c>
      <c r="D21" s="305"/>
      <c r="E21" s="416" t="s">
        <v>283</v>
      </c>
      <c r="F21" s="417"/>
      <c r="G21" s="283" t="s">
        <v>285</v>
      </c>
      <c r="H21" s="174" t="s">
        <v>286</v>
      </c>
      <c r="I21" s="175" t="s">
        <v>287</v>
      </c>
      <c r="J21" s="305"/>
      <c r="K21" s="135" t="s">
        <v>123</v>
      </c>
      <c r="L21" s="136">
        <v>0.3</v>
      </c>
      <c r="M21" s="136">
        <v>0.27</v>
      </c>
    </row>
    <row r="22" spans="1:13" x14ac:dyDescent="0.25">
      <c r="A22" s="305"/>
      <c r="B22" s="179" t="s">
        <v>345</v>
      </c>
      <c r="C22" s="176" t="s">
        <v>227</v>
      </c>
      <c r="D22" s="305"/>
      <c r="E22" s="418"/>
      <c r="F22" s="419"/>
      <c r="G22" s="313" t="s">
        <v>227</v>
      </c>
      <c r="H22" s="281" t="s">
        <v>227</v>
      </c>
      <c r="I22" s="176" t="s">
        <v>227</v>
      </c>
      <c r="J22" s="305"/>
      <c r="K22" s="135" t="s">
        <v>124</v>
      </c>
      <c r="L22" s="136">
        <v>0.27</v>
      </c>
      <c r="M22" s="136">
        <v>0.27</v>
      </c>
    </row>
    <row r="23" spans="1:13" x14ac:dyDescent="0.25">
      <c r="A23" s="305"/>
      <c r="B23" s="180" t="s">
        <v>225</v>
      </c>
      <c r="C23" s="177" t="s">
        <v>227</v>
      </c>
      <c r="D23" s="305"/>
      <c r="E23" s="418"/>
      <c r="F23" s="419"/>
      <c r="G23" s="313" t="s">
        <v>227</v>
      </c>
      <c r="H23" s="281" t="s">
        <v>227</v>
      </c>
      <c r="I23" s="176" t="s">
        <v>227</v>
      </c>
      <c r="J23" s="305"/>
      <c r="K23" s="135" t="s">
        <v>125</v>
      </c>
      <c r="L23" s="136">
        <v>0.27</v>
      </c>
      <c r="M23" s="136">
        <v>0.27</v>
      </c>
    </row>
    <row r="24" spans="1:13" x14ac:dyDescent="0.25">
      <c r="A24" s="305"/>
      <c r="B24" s="180" t="s">
        <v>282</v>
      </c>
      <c r="C24" s="177"/>
      <c r="D24" s="305"/>
      <c r="E24" s="418"/>
      <c r="F24" s="419"/>
      <c r="G24" s="313" t="s">
        <v>227</v>
      </c>
      <c r="H24" s="281" t="s">
        <v>227</v>
      </c>
      <c r="I24" s="176" t="s">
        <v>227</v>
      </c>
      <c r="J24" s="308"/>
      <c r="K24" s="135" t="s">
        <v>126</v>
      </c>
      <c r="L24" s="136">
        <v>0.27</v>
      </c>
      <c r="M24" s="136">
        <v>0.27</v>
      </c>
    </row>
    <row r="25" spans="1:13" ht="15.75" thickBot="1" x14ac:dyDescent="0.3">
      <c r="A25" s="305"/>
      <c r="B25" s="181" t="s">
        <v>362</v>
      </c>
      <c r="C25" s="178"/>
      <c r="D25" s="305"/>
      <c r="E25" s="532"/>
      <c r="F25" s="533"/>
      <c r="G25" s="182" t="s">
        <v>227</v>
      </c>
      <c r="H25" s="182" t="s">
        <v>227</v>
      </c>
      <c r="I25" s="182" t="s">
        <v>227</v>
      </c>
      <c r="J25" s="308"/>
      <c r="K25" s="135" t="s">
        <v>127</v>
      </c>
      <c r="L25" s="136">
        <v>0</v>
      </c>
      <c r="M25" s="136">
        <v>0</v>
      </c>
    </row>
    <row r="26" spans="1:13" ht="15.75" thickBot="1" x14ac:dyDescent="0.3">
      <c r="A26" s="305"/>
      <c r="B26" s="305"/>
      <c r="C26" s="305"/>
      <c r="D26" s="305"/>
      <c r="E26" s="305"/>
      <c r="F26" s="305"/>
      <c r="G26" s="305"/>
      <c r="H26" s="305"/>
      <c r="I26" s="305"/>
      <c r="J26" s="305"/>
      <c r="K26" s="135" t="s">
        <v>128</v>
      </c>
      <c r="L26" s="136">
        <v>0</v>
      </c>
      <c r="M26" s="136">
        <v>0</v>
      </c>
    </row>
    <row r="27" spans="1:13" ht="24" thickBot="1" x14ac:dyDescent="0.3">
      <c r="A27" s="305"/>
      <c r="B27" s="428" t="s">
        <v>288</v>
      </c>
      <c r="C27" s="429"/>
      <c r="D27" s="429"/>
      <c r="E27" s="429"/>
      <c r="F27" s="429"/>
      <c r="G27" s="429"/>
      <c r="H27" s="430"/>
      <c r="I27" s="309"/>
      <c r="J27" s="305"/>
      <c r="K27" s="135" t="s">
        <v>129</v>
      </c>
      <c r="L27" s="136">
        <v>0.3</v>
      </c>
      <c r="M27" s="136">
        <v>0.27</v>
      </c>
    </row>
    <row r="28" spans="1:13" ht="15.75" thickBot="1" x14ac:dyDescent="0.3">
      <c r="A28" s="305"/>
      <c r="B28" s="210" t="s">
        <v>289</v>
      </c>
      <c r="C28" s="431">
        <v>1</v>
      </c>
      <c r="D28" s="432"/>
      <c r="E28" s="431">
        <v>2</v>
      </c>
      <c r="F28" s="432"/>
      <c r="G28" s="431" t="s">
        <v>59</v>
      </c>
      <c r="H28" s="433"/>
      <c r="I28" s="305"/>
      <c r="J28" s="305"/>
      <c r="K28" s="135" t="s">
        <v>232</v>
      </c>
      <c r="L28" s="136">
        <v>0.3</v>
      </c>
      <c r="M28" s="136">
        <v>0.27</v>
      </c>
    </row>
    <row r="29" spans="1:13" x14ac:dyDescent="0.25">
      <c r="A29" s="305"/>
      <c r="B29" s="183" t="s">
        <v>70</v>
      </c>
      <c r="C29" s="434">
        <f>SUM(C30:C32)</f>
        <v>0</v>
      </c>
      <c r="D29" s="435"/>
      <c r="E29" s="434">
        <f>SUM(E30:E32)</f>
        <v>0</v>
      </c>
      <c r="F29" s="435"/>
      <c r="G29" s="436">
        <f>SUM(C29:F29)</f>
        <v>0</v>
      </c>
      <c r="H29" s="437"/>
      <c r="I29" s="305"/>
      <c r="J29" s="305"/>
      <c r="K29" s="135" t="s">
        <v>131</v>
      </c>
      <c r="L29" s="136">
        <v>0.27</v>
      </c>
      <c r="M29" s="136">
        <v>0.27</v>
      </c>
    </row>
    <row r="30" spans="1:13" x14ac:dyDescent="0.25">
      <c r="A30" s="305"/>
      <c r="B30" s="188" t="s">
        <v>290</v>
      </c>
      <c r="C30" s="424">
        <f>'Budget de projet'!C30:D30</f>
        <v>0</v>
      </c>
      <c r="D30" s="425"/>
      <c r="E30" s="424">
        <f>'Budget de projet'!E30:F30</f>
        <v>0</v>
      </c>
      <c r="F30" s="425"/>
      <c r="G30" s="426">
        <f>SUM(C30:F30)</f>
        <v>0</v>
      </c>
      <c r="H30" s="427"/>
      <c r="I30" s="305"/>
      <c r="J30" s="305"/>
      <c r="K30" s="135" t="s">
        <v>132</v>
      </c>
      <c r="L30" s="136">
        <v>0.27</v>
      </c>
      <c r="M30" s="136">
        <v>0.27</v>
      </c>
    </row>
    <row r="31" spans="1:13" x14ac:dyDescent="0.25">
      <c r="A31" s="305"/>
      <c r="B31" s="188" t="s">
        <v>72</v>
      </c>
      <c r="C31" s="424">
        <f>'Budget de projet'!C31:D31</f>
        <v>0</v>
      </c>
      <c r="D31" s="425"/>
      <c r="E31" s="424">
        <f>'Budget de projet'!E31:F31</f>
        <v>0</v>
      </c>
      <c r="F31" s="425"/>
      <c r="G31" s="426">
        <f t="shared" ref="G31:G42" si="0">SUM(C31:F31)</f>
        <v>0</v>
      </c>
      <c r="H31" s="427"/>
      <c r="I31" s="305"/>
      <c r="J31" s="305"/>
      <c r="K31" s="135" t="s">
        <v>133</v>
      </c>
      <c r="L31" s="136">
        <v>0.27</v>
      </c>
      <c r="M31" s="136">
        <v>0.27</v>
      </c>
    </row>
    <row r="32" spans="1:13" x14ac:dyDescent="0.25">
      <c r="A32" s="305"/>
      <c r="B32" s="189" t="s">
        <v>291</v>
      </c>
      <c r="C32" s="424">
        <f>'Budget de projet'!C32:D32</f>
        <v>0</v>
      </c>
      <c r="D32" s="425"/>
      <c r="E32" s="424">
        <f>'Budget de projet'!E32:F32</f>
        <v>0</v>
      </c>
      <c r="F32" s="425"/>
      <c r="G32" s="426">
        <f t="shared" si="0"/>
        <v>0</v>
      </c>
      <c r="H32" s="427"/>
      <c r="I32" s="305"/>
      <c r="J32" s="305"/>
      <c r="K32" s="135" t="s">
        <v>228</v>
      </c>
      <c r="L32" s="136">
        <v>0.27</v>
      </c>
      <c r="M32" s="136">
        <v>0.27</v>
      </c>
    </row>
    <row r="33" spans="1:15" x14ac:dyDescent="0.25">
      <c r="A33" s="305"/>
      <c r="B33" s="184" t="s">
        <v>292</v>
      </c>
      <c r="C33" s="438">
        <f>SUM(C34:C36)</f>
        <v>0</v>
      </c>
      <c r="D33" s="439"/>
      <c r="E33" s="438">
        <f>SUM(E34:E36)</f>
        <v>0</v>
      </c>
      <c r="F33" s="439"/>
      <c r="G33" s="440">
        <f t="shared" si="0"/>
        <v>0</v>
      </c>
      <c r="H33" s="441"/>
      <c r="I33" s="305"/>
      <c r="J33" s="305"/>
      <c r="K33" s="135" t="s">
        <v>229</v>
      </c>
      <c r="L33" s="136">
        <v>0.27</v>
      </c>
      <c r="M33" s="136">
        <v>0.27</v>
      </c>
    </row>
    <row r="34" spans="1:15" x14ac:dyDescent="0.25">
      <c r="A34" s="305"/>
      <c r="B34" s="190" t="s">
        <v>293</v>
      </c>
      <c r="C34" s="424">
        <f>'Budget de projet'!C34:D34</f>
        <v>0</v>
      </c>
      <c r="D34" s="425"/>
      <c r="E34" s="424">
        <f>'Budget de projet'!E34:F34</f>
        <v>0</v>
      </c>
      <c r="F34" s="425"/>
      <c r="G34" s="426">
        <f t="shared" si="0"/>
        <v>0</v>
      </c>
      <c r="H34" s="427"/>
      <c r="I34" s="305"/>
      <c r="J34" s="305"/>
      <c r="K34" s="135" t="s">
        <v>230</v>
      </c>
      <c r="L34" s="136">
        <v>0.27</v>
      </c>
      <c r="M34" s="136">
        <v>0.27</v>
      </c>
    </row>
    <row r="35" spans="1:15" x14ac:dyDescent="0.25">
      <c r="A35" s="305"/>
      <c r="B35" s="190" t="s">
        <v>294</v>
      </c>
      <c r="C35" s="424">
        <f>'Budget de projet'!C35:D35</f>
        <v>0</v>
      </c>
      <c r="D35" s="425"/>
      <c r="E35" s="424">
        <f>'Budget de projet'!E35:F35</f>
        <v>0</v>
      </c>
      <c r="F35" s="425"/>
      <c r="G35" s="426">
        <f t="shared" si="0"/>
        <v>0</v>
      </c>
      <c r="H35" s="427"/>
      <c r="I35" s="305"/>
      <c r="J35" s="305"/>
      <c r="K35" s="135" t="s">
        <v>137</v>
      </c>
      <c r="L35" s="136">
        <v>0.27</v>
      </c>
      <c r="M35" s="136">
        <v>0.27</v>
      </c>
    </row>
    <row r="36" spans="1:15" x14ac:dyDescent="0.25">
      <c r="A36" s="305"/>
      <c r="B36" s="191" t="s">
        <v>295</v>
      </c>
      <c r="C36" s="424">
        <f>'Budget de projet'!C36:D36</f>
        <v>0</v>
      </c>
      <c r="D36" s="425"/>
      <c r="E36" s="424">
        <f>'Budget de projet'!E36:F36</f>
        <v>0</v>
      </c>
      <c r="F36" s="425"/>
      <c r="G36" s="426">
        <f t="shared" si="0"/>
        <v>0</v>
      </c>
      <c r="H36" s="427"/>
      <c r="I36" s="305"/>
      <c r="J36" s="305"/>
      <c r="K36" s="135" t="s">
        <v>231</v>
      </c>
      <c r="L36" s="136">
        <v>0.27</v>
      </c>
      <c r="M36" s="136">
        <v>0.27</v>
      </c>
    </row>
    <row r="37" spans="1:15" x14ac:dyDescent="0.25">
      <c r="A37" s="305"/>
      <c r="B37" s="185" t="s">
        <v>296</v>
      </c>
      <c r="C37" s="438">
        <f>SUM(C38:C40)</f>
        <v>0</v>
      </c>
      <c r="D37" s="439"/>
      <c r="E37" s="438">
        <f>SUM(E38:E40)</f>
        <v>0</v>
      </c>
      <c r="F37" s="439"/>
      <c r="G37" s="440">
        <f t="shared" si="0"/>
        <v>0</v>
      </c>
      <c r="H37" s="441"/>
      <c r="I37" s="305"/>
      <c r="J37" s="305"/>
      <c r="K37" s="278" t="s">
        <v>233</v>
      </c>
      <c r="L37" s="279"/>
      <c r="M37" s="279"/>
    </row>
    <row r="38" spans="1:15" ht="15.75" thickBot="1" x14ac:dyDescent="0.3">
      <c r="A38" s="305"/>
      <c r="B38" s="190" t="s">
        <v>297</v>
      </c>
      <c r="C38" s="424">
        <f>'Budget de projet'!C38:D38</f>
        <v>0</v>
      </c>
      <c r="D38" s="425"/>
      <c r="E38" s="424">
        <f>'Budget de projet'!E38:F38</f>
        <v>0</v>
      </c>
      <c r="F38" s="425"/>
      <c r="G38" s="426">
        <f t="shared" si="0"/>
        <v>0</v>
      </c>
      <c r="H38" s="427"/>
      <c r="I38" s="305"/>
      <c r="J38" s="305"/>
    </row>
    <row r="39" spans="1:15" ht="15.75" thickBot="1" x14ac:dyDescent="0.3">
      <c r="A39" s="305"/>
      <c r="B39" s="190" t="s">
        <v>298</v>
      </c>
      <c r="C39" s="424">
        <f>'Budget de projet'!C39:D39</f>
        <v>0</v>
      </c>
      <c r="D39" s="425"/>
      <c r="E39" s="424">
        <f>'Budget de projet'!E39:F39</f>
        <v>0</v>
      </c>
      <c r="F39" s="425"/>
      <c r="G39" s="426">
        <f t="shared" si="0"/>
        <v>0</v>
      </c>
      <c r="H39" s="427"/>
      <c r="I39" s="305"/>
      <c r="J39" s="305"/>
      <c r="K39" s="277" t="s">
        <v>157</v>
      </c>
    </row>
    <row r="40" spans="1:15" x14ac:dyDescent="0.25">
      <c r="A40" s="305"/>
      <c r="B40" s="190" t="s">
        <v>299</v>
      </c>
      <c r="C40" s="424">
        <f>'Budget de projet'!C40:D40</f>
        <v>0</v>
      </c>
      <c r="D40" s="425"/>
      <c r="E40" s="424">
        <f>'Budget de projet'!E40:F40</f>
        <v>0</v>
      </c>
      <c r="F40" s="425"/>
      <c r="G40" s="426">
        <f t="shared" si="0"/>
        <v>0</v>
      </c>
      <c r="H40" s="427"/>
      <c r="I40" s="305"/>
      <c r="J40" s="305"/>
      <c r="K40" s="249" t="s">
        <v>227</v>
      </c>
    </row>
    <row r="41" spans="1:15" x14ac:dyDescent="0.25">
      <c r="A41" s="305"/>
      <c r="B41" s="185" t="s">
        <v>300</v>
      </c>
      <c r="C41" s="438">
        <f>C42</f>
        <v>0</v>
      </c>
      <c r="D41" s="439"/>
      <c r="E41" s="438">
        <f>E42</f>
        <v>0</v>
      </c>
      <c r="F41" s="439"/>
      <c r="G41" s="440">
        <f t="shared" si="0"/>
        <v>0</v>
      </c>
      <c r="H41" s="441"/>
      <c r="I41" s="305"/>
      <c r="J41" s="305"/>
      <c r="K41" s="249" t="s">
        <v>234</v>
      </c>
      <c r="L41">
        <v>350</v>
      </c>
      <c r="M41">
        <v>850</v>
      </c>
      <c r="N41">
        <v>1800</v>
      </c>
      <c r="O41">
        <v>4000</v>
      </c>
    </row>
    <row r="42" spans="1:15" ht="15.75" thickBot="1" x14ac:dyDescent="0.3">
      <c r="A42" s="305"/>
      <c r="B42" s="192" t="s">
        <v>301</v>
      </c>
      <c r="C42" s="442">
        <f>'Budget de projet'!C42:D42</f>
        <v>0</v>
      </c>
      <c r="D42" s="443"/>
      <c r="E42" s="442">
        <f>'Budget de projet'!E42:F42</f>
        <v>0</v>
      </c>
      <c r="F42" s="443"/>
      <c r="G42" s="444">
        <f t="shared" si="0"/>
        <v>0</v>
      </c>
      <c r="H42" s="445"/>
      <c r="I42" s="305"/>
      <c r="J42" s="305"/>
      <c r="K42" s="249" t="s">
        <v>235</v>
      </c>
      <c r="L42">
        <v>4000</v>
      </c>
      <c r="M42">
        <v>7500</v>
      </c>
    </row>
    <row r="43" spans="1:15" ht="15.75" thickTop="1" x14ac:dyDescent="0.25">
      <c r="A43" s="305"/>
      <c r="B43" s="186" t="s">
        <v>302</v>
      </c>
      <c r="C43" s="446">
        <f>C29+C33+C37+C41</f>
        <v>0</v>
      </c>
      <c r="D43" s="447"/>
      <c r="E43" s="446">
        <f>E29+E33+E37+E41</f>
        <v>0</v>
      </c>
      <c r="F43" s="447"/>
      <c r="G43" s="448">
        <f>G29+G33+G37+G41</f>
        <v>0</v>
      </c>
      <c r="H43" s="449"/>
      <c r="I43" s="305"/>
      <c r="J43" s="305"/>
      <c r="K43" s="249" t="s">
        <v>236</v>
      </c>
      <c r="L43">
        <v>4000</v>
      </c>
    </row>
    <row r="44" spans="1:15" x14ac:dyDescent="0.25">
      <c r="A44" s="305"/>
      <c r="B44" s="195"/>
      <c r="C44" s="196"/>
      <c r="D44" s="196"/>
      <c r="E44" s="196"/>
      <c r="F44" s="196"/>
      <c r="G44" s="196"/>
      <c r="H44" s="197"/>
      <c r="I44" s="305"/>
      <c r="J44" s="305"/>
      <c r="K44" s="249" t="s">
        <v>198</v>
      </c>
      <c r="L44">
        <v>1800</v>
      </c>
    </row>
    <row r="45" spans="1:15" x14ac:dyDescent="0.25">
      <c r="A45" s="305"/>
      <c r="B45" s="193" t="s">
        <v>303</v>
      </c>
      <c r="C45" s="456">
        <f>SUM(C46:D47)</f>
        <v>0</v>
      </c>
      <c r="D45" s="457"/>
      <c r="E45" s="456">
        <f t="shared" ref="E45" si="1">SUM(E46:F47)</f>
        <v>0</v>
      </c>
      <c r="F45" s="457"/>
      <c r="G45" s="458">
        <f>SUM(G46:H47)</f>
        <v>0</v>
      </c>
      <c r="H45" s="459"/>
      <c r="I45" s="305"/>
      <c r="J45" s="305"/>
      <c r="K45" s="249" t="s">
        <v>237</v>
      </c>
      <c r="L45">
        <v>4000</v>
      </c>
    </row>
    <row r="46" spans="1:15" x14ac:dyDescent="0.25">
      <c r="A46" s="305"/>
      <c r="B46" s="190" t="s">
        <v>304</v>
      </c>
      <c r="C46" s="456">
        <f>0.02*C43</f>
        <v>0</v>
      </c>
      <c r="D46" s="457"/>
      <c r="E46" s="456">
        <f t="shared" ref="E46" si="2">0.02*E43</f>
        <v>0</v>
      </c>
      <c r="F46" s="457"/>
      <c r="G46" s="460">
        <f>SUM(C46:F46)</f>
        <v>0</v>
      </c>
      <c r="H46" s="461"/>
      <c r="I46" s="305"/>
      <c r="J46" s="305"/>
      <c r="K46" s="249" t="s">
        <v>238</v>
      </c>
      <c r="L46">
        <v>4000</v>
      </c>
    </row>
    <row r="47" spans="1:15" x14ac:dyDescent="0.25">
      <c r="A47" s="305"/>
      <c r="B47" s="194" t="s">
        <v>305</v>
      </c>
      <c r="C47" s="450">
        <f>0.03*C43</f>
        <v>0</v>
      </c>
      <c r="D47" s="451"/>
      <c r="E47" s="450">
        <f t="shared" ref="E47" si="3">0.03*E43</f>
        <v>0</v>
      </c>
      <c r="F47" s="451"/>
      <c r="G47" s="452">
        <f>SUM(C47:F47)</f>
        <v>0</v>
      </c>
      <c r="H47" s="453"/>
      <c r="I47" s="305"/>
      <c r="J47" s="305"/>
      <c r="K47" s="249" t="s">
        <v>239</v>
      </c>
      <c r="L47">
        <v>4000</v>
      </c>
    </row>
    <row r="48" spans="1:15" ht="15.75" thickBot="1" x14ac:dyDescent="0.3">
      <c r="A48" s="305"/>
      <c r="B48" s="198"/>
      <c r="C48" s="199"/>
      <c r="D48" s="199"/>
      <c r="E48" s="199"/>
      <c r="F48" s="199"/>
      <c r="G48" s="199"/>
      <c r="H48" s="200"/>
      <c r="I48" s="305"/>
      <c r="J48" s="305"/>
      <c r="K48" s="249" t="s">
        <v>201</v>
      </c>
      <c r="L48">
        <v>4000</v>
      </c>
    </row>
    <row r="49" spans="1:15" ht="15.75" thickTop="1" x14ac:dyDescent="0.25">
      <c r="A49" s="305"/>
      <c r="B49" s="187" t="s">
        <v>306</v>
      </c>
      <c r="C49" s="446">
        <f>C43+C45</f>
        <v>0</v>
      </c>
      <c r="D49" s="447"/>
      <c r="E49" s="446">
        <f>E43+E45</f>
        <v>0</v>
      </c>
      <c r="F49" s="447"/>
      <c r="G49" s="454">
        <f>G43+G45</f>
        <v>0</v>
      </c>
      <c r="H49" s="455"/>
      <c r="I49" s="305"/>
      <c r="J49" s="305"/>
      <c r="K49" s="249" t="s">
        <v>202</v>
      </c>
      <c r="L49">
        <v>1800</v>
      </c>
    </row>
    <row r="50" spans="1:15" x14ac:dyDescent="0.25">
      <c r="A50" s="305"/>
      <c r="B50" s="195"/>
      <c r="C50" s="196"/>
      <c r="D50" s="196"/>
      <c r="E50" s="196"/>
      <c r="F50" s="196"/>
      <c r="G50" s="196"/>
      <c r="H50" s="197"/>
      <c r="I50" s="305"/>
      <c r="J50" s="305"/>
      <c r="K50" s="249" t="s">
        <v>276</v>
      </c>
      <c r="L50">
        <v>850</v>
      </c>
      <c r="M50">
        <v>1800</v>
      </c>
    </row>
    <row r="51" spans="1:15" x14ac:dyDescent="0.25">
      <c r="A51" s="305"/>
      <c r="B51" s="208" t="str">
        <f>"In-kind taken in account (max : "&amp;IF(TRL="2-3","0% of Total eligible project cost = ","20 % of Total eligible project cost = ")&amp;IF(TRL="2-3",0,G49*25%)&amp;" $)"</f>
        <v>In-kind taken in account (max : 20 % of Total eligible project cost = 0 $)</v>
      </c>
      <c r="C51" s="209"/>
      <c r="D51" s="209"/>
      <c r="E51" s="209"/>
      <c r="F51" s="209"/>
      <c r="G51" s="462">
        <f>'Budget de projet'!G51</f>
        <v>0</v>
      </c>
      <c r="H51" s="463"/>
      <c r="I51" s="305"/>
      <c r="J51" s="305"/>
      <c r="K51" s="249" t="s">
        <v>217</v>
      </c>
      <c r="L51">
        <v>850</v>
      </c>
      <c r="M51">
        <v>1800</v>
      </c>
    </row>
    <row r="52" spans="1:15" ht="15.75" thickBot="1" x14ac:dyDescent="0.3">
      <c r="A52" s="305"/>
      <c r="B52" s="201"/>
      <c r="C52" s="464"/>
      <c r="D52" s="464"/>
      <c r="E52" s="202"/>
      <c r="F52" s="202"/>
      <c r="G52" s="203"/>
      <c r="H52" s="204"/>
      <c r="I52" s="305"/>
      <c r="J52" s="305"/>
      <c r="K52" s="249" t="s">
        <v>241</v>
      </c>
      <c r="L52">
        <v>850</v>
      </c>
    </row>
    <row r="53" spans="1:15" ht="16.5" thickTop="1" thickBot="1" x14ac:dyDescent="0.3">
      <c r="A53" s="305"/>
      <c r="B53" s="205" t="s">
        <v>307</v>
      </c>
      <c r="C53" s="206"/>
      <c r="D53" s="206"/>
      <c r="E53" s="207"/>
      <c r="F53" s="207"/>
      <c r="G53" s="465">
        <f>G49+G51</f>
        <v>0</v>
      </c>
      <c r="H53" s="466"/>
      <c r="I53" s="305"/>
      <c r="J53" s="305"/>
      <c r="K53" s="249" t="s">
        <v>242</v>
      </c>
      <c r="L53">
        <v>850</v>
      </c>
    </row>
    <row r="54" spans="1:15" ht="15.75" thickBot="1" x14ac:dyDescent="0.3">
      <c r="A54" s="305"/>
      <c r="B54" s="305"/>
      <c r="C54" s="305"/>
      <c r="D54" s="305"/>
      <c r="E54" s="305"/>
      <c r="F54" s="305"/>
      <c r="G54" s="305"/>
      <c r="H54" s="305"/>
      <c r="I54" s="305"/>
      <c r="J54" s="305"/>
      <c r="K54" s="249" t="s">
        <v>277</v>
      </c>
      <c r="L54">
        <v>5000</v>
      </c>
    </row>
    <row r="55" spans="1:15" ht="14.45" customHeight="1" thickBot="1" x14ac:dyDescent="0.3">
      <c r="A55" s="305"/>
      <c r="B55" s="467" t="s">
        <v>308</v>
      </c>
      <c r="C55" s="429"/>
      <c r="D55" s="429"/>
      <c r="E55" s="429"/>
      <c r="F55" s="429"/>
      <c r="G55" s="429"/>
      <c r="H55" s="429"/>
      <c r="I55" s="429"/>
      <c r="J55" s="430"/>
      <c r="K55" s="249" t="s">
        <v>244</v>
      </c>
      <c r="L55">
        <v>5000</v>
      </c>
    </row>
    <row r="56" spans="1:15" ht="15" customHeight="1" x14ac:dyDescent="0.25">
      <c r="A56" s="305"/>
      <c r="B56" s="468"/>
      <c r="C56" s="469" t="s">
        <v>326</v>
      </c>
      <c r="D56" s="470"/>
      <c r="E56" s="470"/>
      <c r="F56" s="471"/>
      <c r="G56" s="472" t="s">
        <v>364</v>
      </c>
      <c r="H56" s="473"/>
      <c r="I56" s="474" t="s">
        <v>311</v>
      </c>
      <c r="J56" s="477" t="s">
        <v>59</v>
      </c>
      <c r="K56" s="249" t="s">
        <v>245</v>
      </c>
      <c r="L56">
        <v>5000</v>
      </c>
    </row>
    <row r="57" spans="1:15" ht="14.45" customHeight="1" x14ac:dyDescent="0.25">
      <c r="A57" s="305"/>
      <c r="B57" s="468"/>
      <c r="C57" s="479" t="s">
        <v>309</v>
      </c>
      <c r="D57" s="480"/>
      <c r="E57" s="486" t="s">
        <v>310</v>
      </c>
      <c r="F57" s="480"/>
      <c r="G57" s="472"/>
      <c r="H57" s="473"/>
      <c r="I57" s="475"/>
      <c r="J57" s="478"/>
      <c r="K57" s="151"/>
    </row>
    <row r="58" spans="1:15" ht="15.75" thickBot="1" x14ac:dyDescent="0.3">
      <c r="A58" s="305"/>
      <c r="B58" s="173"/>
      <c r="C58" s="212" t="s">
        <v>103</v>
      </c>
      <c r="D58" s="212" t="s">
        <v>104</v>
      </c>
      <c r="E58" s="213" t="s">
        <v>103</v>
      </c>
      <c r="F58" s="212" t="s">
        <v>104</v>
      </c>
      <c r="G58" s="487"/>
      <c r="H58" s="488"/>
      <c r="I58" s="476"/>
      <c r="J58" s="215" t="s">
        <v>312</v>
      </c>
      <c r="K58" s="151"/>
    </row>
    <row r="59" spans="1:15" ht="19.899999999999999" customHeight="1" thickBot="1" x14ac:dyDescent="0.3">
      <c r="A59" s="305"/>
      <c r="B59" s="216" t="s">
        <v>325</v>
      </c>
      <c r="C59" s="217" t="e">
        <f>IF(TRL="2-3",IF(TransMedTech="Sans / Without TransMedTech",'TRL1-3'!C18,'iTMT TRL1-3'!C19),IF(TransMedTech="Sans TransMedTech",'TRL4-6'!C19,'iTMT TRL4-6'!C20))</f>
        <v>#DIV/0!</v>
      </c>
      <c r="D59" s="218" t="e">
        <f>C59/G53</f>
        <v>#DIV/0!</v>
      </c>
      <c r="E59" s="219">
        <f>IF(TRL="2-3",0,G51)</f>
        <v>0</v>
      </c>
      <c r="F59" s="220" t="e">
        <f>E59/G53</f>
        <v>#DIV/0!</v>
      </c>
      <c r="G59" s="489">
        <f>LOOKUP(Etablissement,Feuil1!D42:D64,Feuil1!E42:E64)</f>
        <v>0.27</v>
      </c>
      <c r="H59" s="490"/>
      <c r="I59" s="222"/>
      <c r="J59" s="223"/>
      <c r="K59" s="124" t="s">
        <v>60</v>
      </c>
      <c r="L59" s="125" t="s">
        <v>55</v>
      </c>
      <c r="M59" s="125" t="s">
        <v>61</v>
      </c>
      <c r="N59" s="127" t="s">
        <v>58</v>
      </c>
      <c r="O59" s="126" t="s">
        <v>112</v>
      </c>
    </row>
    <row r="60" spans="1:15" x14ac:dyDescent="0.25">
      <c r="A60" s="305"/>
      <c r="B60" s="250" t="str">
        <f>IF(E22="","",E22)</f>
        <v/>
      </c>
      <c r="C60" s="152">
        <f>'Budget de projet'!C60</f>
        <v>0</v>
      </c>
      <c r="D60" s="229" t="e">
        <f>C60/$G$53</f>
        <v>#DIV/0!</v>
      </c>
      <c r="E60" s="152">
        <f>'Budget de projet'!E60</f>
        <v>0</v>
      </c>
      <c r="F60" s="231" t="e">
        <f>E60/$G$53</f>
        <v>#DIV/0!</v>
      </c>
      <c r="G60" s="481">
        <f>C60*G$59</f>
        <v>0</v>
      </c>
      <c r="H60" s="481"/>
      <c r="I60" s="304">
        <f>IF(H10="Oui / Yes",0,
IF(AND(G10="Industrial Member",I10="Moins de deux ans d'activité"),350,0)+
IF(AND(G10="Industrial Member",I10="Moins de 5 M$"),850,0)+
IF(AND(G10="Industrial Member",I10="De 5 M$ à 10 M$"),1800,0)+
IF(AND(G10="Industrial Member",I10="De 10 M$ à 50 M$"),1800,0)+
IF(AND(G10="Industrial Member",I10="Plus de 50 M$"),4000,0)+
IF(AND(G10="Consulting firm",I10="Moins de deux ans d'activité"),4000,0)+
IF(AND(G10="Consulting firm",I10="Moins de 5 M$"),4000,0)+
IF(AND(G10="Consulting firm",I10="De 5 M$ à 10 M$"),4000,0)+
IF(AND(G10="Consulting firm",I10="De 10 M$ à 50 M$"),7500,0)+
IF(AND(G10="Consulting firm",I10="Plus de 50 M$"),7500,0)+
IF(G10="University",4000,0)+
IF(G10="CCTT",1800,0)+
IF(G10="Research Center", 4000,0)+
IF(G10="UHC",4000,0)+
IF(G10="CIUSSS",4000,0)+
IF(G10="CCTT",4000,0)+
IF(G10="Institut",4000,0)+
IF(G10="CISSS",1800,0)+
IF(AND(G10="Charitable organization",I10="Moins de deux ans d'activité"),850,0)+
IF(AND(G10="Charitable organization",I10="Moins de 5 M$"),850,0)+
IF(AND(G10="Charitable organization",I10="De 5 M$ à 10 M$"),1800,0)+
IF(AND(G10="Charitable organization",I10="De 10 M$ à 50 M$"),1800,0)+
IF(AND(G10="Charitable organization",I10="Plus de 50 M$"),1800,0)+
IF(AND(G10="Fondation",I10="Moins de deux ans d'activité"),850,0)+
IF(AND(G10="Fondation",I10="Moins de 5 M$"),850,0)+
IF(AND(G10="Fondation",I10="De 5 M$ à 10 M$"),1800,0)+
IF(AND(G10="Fondation",I10="De 10 M$ à 50 M$"),1800,0)+
IF(AND(G10="Fondation",I10="Plus de 50 M$"),1800,0)+
IF(G10="Interest group",850,0)+
IF(G10="Federation",850,0)+
IF(G10="Incubator / accelerator",5000,0)+
IF(G10="Technology transfer organization",5000,0)+
IF(G10="International Member",5000,0))</f>
        <v>0</v>
      </c>
      <c r="J60" s="233">
        <f>C60+G60+I60</f>
        <v>0</v>
      </c>
      <c r="K60" s="122" t="s">
        <v>62</v>
      </c>
      <c r="L60" s="123" t="s">
        <v>246</v>
      </c>
      <c r="M60" s="123" t="s">
        <v>237</v>
      </c>
      <c r="N60" s="128" t="s">
        <v>248</v>
      </c>
      <c r="O60" s="131" t="s">
        <v>250</v>
      </c>
    </row>
    <row r="61" spans="1:15" x14ac:dyDescent="0.25">
      <c r="A61" s="305"/>
      <c r="B61" s="250" t="str">
        <f>IF(E23="","",E23)</f>
        <v/>
      </c>
      <c r="C61" s="152">
        <f>'Budget de projet'!C61</f>
        <v>0</v>
      </c>
      <c r="D61" s="230" t="e">
        <f>C61/$G$53</f>
        <v>#DIV/0!</v>
      </c>
      <c r="E61" s="152">
        <f>'Budget de projet'!E61</f>
        <v>0</v>
      </c>
      <c r="F61" s="232" t="e">
        <f>E61/$G$53</f>
        <v>#DIV/0!</v>
      </c>
      <c r="G61" s="481">
        <f t="shared" ref="G61:G63" si="4">C61*G$59</f>
        <v>0</v>
      </c>
      <c r="H61" s="481"/>
      <c r="I61" s="304">
        <f>IF(H10="Oui / Yes",0,
IF(AND(G10="Industrial Member",I10="Moins de deux ans d'activité"),350,0)+
IF(AND(G10="Industrial Member",I10="Moins de 5 M$"),850,0)+
IF(AND(G10="Industrial Member",I10="De 5 M$ à 10 M$"),1800,0)+
IF(AND(G10="Industrial Member",I10="De 10 M$ à 50 M$"),1800,0)+
IF(AND(G10="Industrial Member",I10="Plus de 50 M$"),4000,0)+
IF(AND(G10="Consulting firm",I10="Moins de deux ans d'activité"),4000,0)+
IF(AND(G10="Consulting firm",I10="Moins de 5 M$"),4000,0)+
IF(AND(G10="Consulting firm",I10="De 5 M$ à 10 M$"),4000,0)+
IF(AND(G10="Consulting firm",I10="De 10 M$ à 50 M$"),7500,0)+
IF(AND(G10="Consulting firm",I10="Plus de 50 M$"),7500,0)+
IF(G10="University",4000,0)+
IF(G10="CCTT",1800,0)+
IF(G10="Research Center", 4000,0)+
IF(G10="UHC",4000,0)+
IF(G10="CIUSSS",4000,0)+
IF(G10="CCTT",4000,0)+
IF(G10="Institut",4000,0)+
IF(G10="CISSS",1800,0)+
IF(AND(G10="Charitable organization",I10="Moins de deux ans d'activité"),850,0)+
IF(AND(G10="Charitable organization",I10="Moins de 5 M$"),850,0)+
IF(AND(G10="Charitable organization",I10="De 5 M$ à 10 M$"),1800,0)+
IF(AND(G10="Charitable organization",I10="De 10 M$ à 50 M$"),1800,0)+
IF(AND(G10="Charitable organization",I10="Plus de 50 M$"),1800,0)+
IF(AND(G10="Fondation",I10="Moins de deux ans d'activité"),850,0)+
IF(AND(G10="Fondation",I10="Moins de 5 M$"),850,0)+
IF(AND(G10="Fondation",I10="De 5 M$ à 10 M$"),1800,0)+
IF(AND(G10="Fondation",I10="De 10 M$ à 50 M$"),1800,0)+
IF(AND(G10="Fondation",I10="Plus de 50 M$"),1800,0)+
IF(G10="Interest group",850,0)+
IF(G10="Federation",850,0)+
IF(G10="Incubator / accelerator",5000,0)+
IF(G10="Technology transfer organization",5000,0)+
IF(G10="International Member",5000,0))</f>
        <v>0</v>
      </c>
      <c r="J61" s="233">
        <f>C61+G61+I61</f>
        <v>0</v>
      </c>
      <c r="K61" s="121" t="s">
        <v>63</v>
      </c>
      <c r="L61" s="1" t="s">
        <v>247</v>
      </c>
      <c r="M61" s="1" t="s">
        <v>236</v>
      </c>
      <c r="N61" s="129" t="s">
        <v>249</v>
      </c>
      <c r="O61" s="130" t="s">
        <v>251</v>
      </c>
    </row>
    <row r="62" spans="1:15" x14ac:dyDescent="0.25">
      <c r="A62" s="305"/>
      <c r="B62" s="250" t="str">
        <f>IF(E24="","",E24)</f>
        <v/>
      </c>
      <c r="C62" s="152">
        <f>'Budget de projet'!C62</f>
        <v>0</v>
      </c>
      <c r="D62" s="230" t="e">
        <f>C62/$G$53</f>
        <v>#DIV/0!</v>
      </c>
      <c r="E62" s="152">
        <f>'Budget de projet'!E62</f>
        <v>0</v>
      </c>
      <c r="F62" s="232" t="e">
        <f>E62/$G$53</f>
        <v>#DIV/0!</v>
      </c>
      <c r="G62" s="481">
        <f t="shared" si="4"/>
        <v>0</v>
      </c>
      <c r="H62" s="481"/>
      <c r="I62" s="304">
        <f>IF(H10="Oui / Yes",0,
IF(AND(G10="Industrial Member",I10="Moins de deux ans d'activité"),350,0)+
IF(AND(G10="Industrial Member",I10="Moins de 5 M$"),850,0)+
IF(AND(G10="Industrial Member",I10="De 5 M$ à 10 M$"),1800,0)+
IF(AND(G10="Industrial Member",I10="De 10 M$ à 50 M$"),1800,0)+
IF(AND(G10="Industrial Member",I10="Plus de 50 M$"),4000,0)+
IF(AND(G10="Consulting firm",I10="Moins de deux ans d'activité"),4000,0)+
IF(AND(G10="Consulting firm",I10="Moins de 5 M$"),4000,0)+
IF(AND(G10="Consulting firm",I10="De 5 M$ à 10 M$"),4000,0)+
IF(AND(G10="Consulting firm",I10="De 10 M$ à 50 M$"),7500,0)+
IF(AND(G10="Consulting firm",I10="Plus de 50 M$"),7500,0)+
IF(G10="University",4000,0)+
IF(G10="CCTT",1800,0)+
IF(G10="Research Center", 4000,0)+
IF(G10="UHC",4000,0)+
IF(G10="CIUSSS",4000,0)+
IF(G10="CCTT",4000,0)+
IF(G10="Institut",4000,0)+
IF(G10="CISSS",1800,0)+
IF(AND(G10="Charitable organization",I10="Moins de deux ans d'activité"),850,0)+
IF(AND(G10="Charitable organization",I10="Moins de 5 M$"),850,0)+
IF(AND(G10="Charitable organization",I10="De 5 M$ à 10 M$"),1800,0)+
IF(AND(G10="Charitable organization",I10="De 10 M$ à 50 M$"),1800,0)+
IF(AND(G10="Charitable organization",I10="Plus de 50 M$"),1800,0)+
IF(AND(G10="Fondation",I10="Moins de deux ans d'activité"),850,0)+
IF(AND(G10="Fondation",I10="Moins de 5 M$"),850,0)+
IF(AND(G10="Fondation",I10="De 5 M$ à 10 M$"),1800,0)+
IF(AND(G10="Fondation",I10="De 10 M$ à 50 M$"),1800,0)+
IF(AND(G10="Fondation",I10="Plus de 50 M$"),1800,0)+
IF(G10="Interest group",850,0)+
IF(G10="Federation",850,0)+
IF(G10="Incubator / accelerator",5000,0)+
IF(G10="Technology transfer organization",5000,0)+
IF(G10="International Member",5000,0))</f>
        <v>0</v>
      </c>
      <c r="J62" s="233">
        <f>C62+G62+I62</f>
        <v>0</v>
      </c>
      <c r="K62" s="1" t="s">
        <v>227</v>
      </c>
      <c r="L62" s="1" t="s">
        <v>227</v>
      </c>
      <c r="M62" s="1" t="s">
        <v>227</v>
      </c>
      <c r="N62" s="129" t="s">
        <v>227</v>
      </c>
      <c r="O62" s="130" t="s">
        <v>252</v>
      </c>
    </row>
    <row r="63" spans="1:15" ht="15.75" thickBot="1" x14ac:dyDescent="0.3">
      <c r="A63" s="305"/>
      <c r="B63" s="250" t="str">
        <f>IF(E25="","",E25)</f>
        <v/>
      </c>
      <c r="C63" s="152">
        <f>'Budget de projet'!C63</f>
        <v>0</v>
      </c>
      <c r="D63" s="230" t="e">
        <f>C63/$G$53</f>
        <v>#DIV/0!</v>
      </c>
      <c r="E63" s="152">
        <f>'Budget de projet'!E63</f>
        <v>0</v>
      </c>
      <c r="F63" s="232" t="e">
        <f>E63/$G$53</f>
        <v>#DIV/0!</v>
      </c>
      <c r="G63" s="481">
        <f t="shared" si="4"/>
        <v>0</v>
      </c>
      <c r="H63" s="481"/>
      <c r="I63" s="304">
        <f>IF(H10="Oui / Yes",0,
IF(AND(G10="Industrial Member",I10="Moins de deux ans d'activité"),350,0)+
IF(AND(G10="Industrial Member",I10="Moins de 5 M$"),850,0)+
IF(AND(G10="Industrial Member",I10="De 5 M$ à 10 M$"),1800,0)+
IF(AND(G10="Industrial Member",I10="De 10 M$ à 50 M$"),1800,0)+
IF(AND(G10="Industrial Member",I10="Plus de 50 M$"),4000,0)+
IF(AND(G10="Consulting firm",I10="Moins de deux ans d'activité"),4000,0)+
IF(AND(G10="Consulting firm",I10="Moins de 5 M$"),4000,0)+
IF(AND(G10="Consulting firm",I10="De 5 M$ à 10 M$"),4000,0)+
IF(AND(G10="Consulting firm",I10="De 10 M$ à 50 M$"),7500,0)+
IF(AND(G10="Consulting firm",I10="Plus de 50 M$"),7500,0)+
IF(G10="University",4000,0)+
IF(G10="CCTT",1800,0)+
IF(G10="Research Center", 4000,0)+
IF(G10="UHC",4000,0)+
IF(G10="CIUSSS",4000,0)+
IF(G10="CCTT",4000,0)+
IF(G10="Institut",4000,0)+
IF(G10="CISSS",1800,0)+
IF(AND(G10="Charitable organization",I10="Moins de deux ans d'activité"),850,0)+
IF(AND(G10="Charitable organization",I10="Moins de 5 M$"),850,0)+
IF(AND(G10="Charitable organization",I10="De 5 M$ à 10 M$"),1800,0)+
IF(AND(G10="Charitable organization",I10="De 10 M$ à 50 M$"),1800,0)+
IF(AND(G10="Charitable organization",I10="Plus de 50 M$"),1800,0)+
IF(AND(G10="Fondation",I10="Moins de deux ans d'activité"),850,0)+
IF(AND(G10="Fondation",I10="Moins de 5 M$"),850,0)+
IF(AND(G10="Fondation",I10="De 5 M$ à 10 M$"),1800,0)+
IF(AND(G10="Fondation",I10="De 10 M$ à 50 M$"),1800,0)+
IF(AND(G10="Fondation",I10="Plus de 50 M$"),1800,0)+
IF(G10="Interest group",850,0)+
IF(G10="Federation",850,0)+
IF(G10="Incubator / accelerator",5000,0)+
IF(G10="Technology transfer organization",5000,0)+
IF(G10="International Member",5000,0))</f>
        <v>0</v>
      </c>
      <c r="J63" s="262">
        <f>C63+G63+I63</f>
        <v>0</v>
      </c>
      <c r="K63" s="146"/>
      <c r="L63" s="146"/>
      <c r="M63" s="146"/>
      <c r="N63" s="146"/>
      <c r="O63" s="130" t="s">
        <v>253</v>
      </c>
    </row>
    <row r="64" spans="1:15" ht="16.5" thickTop="1" thickBot="1" x14ac:dyDescent="0.3">
      <c r="A64" s="305"/>
      <c r="B64" s="251" t="s">
        <v>313</v>
      </c>
      <c r="C64" s="156" t="e">
        <f>ROUND(C59,0)-ROUND(SUM(C60:C63),0)</f>
        <v>#DIV/0!</v>
      </c>
      <c r="D64" s="350" t="e">
        <f>ROUND(D59,2)-ROUND(SUM(D60:D63),2)</f>
        <v>#DIV/0!</v>
      </c>
      <c r="E64" s="156">
        <f t="shared" ref="E64" si="5">ROUND(E59,0)-ROUND(SUM(E60:E63),0)</f>
        <v>0</v>
      </c>
      <c r="F64" s="234" t="e">
        <f>ROUND(F59,2)-ROUND(SUM(F60:F63),2)</f>
        <v>#DIV/0!</v>
      </c>
      <c r="G64" s="268"/>
      <c r="H64" s="268"/>
      <c r="I64" s="268"/>
      <c r="J64" s="310"/>
      <c r="O64" s="130" t="s">
        <v>254</v>
      </c>
    </row>
    <row r="65" spans="1:15" ht="15.75" thickBot="1" x14ac:dyDescent="0.3">
      <c r="A65" s="305"/>
      <c r="B65" s="263"/>
      <c r="C65" s="534" t="e">
        <f>IF(AND(C64&gt;0,E64&gt;0),"INSUFFICIENT IN-CASH AND IN-KIND CONTRIBUTION",IF(C64&gt;0,"INSUFFICIENT IN-CASH CONTRIBUTION",IF(E64&gt;0,"INSUFFICIENT IN-KIND CONTRIBUTION","OK")))</f>
        <v>#DIV/0!</v>
      </c>
      <c r="D65" s="535"/>
      <c r="E65" s="535"/>
      <c r="F65" s="536"/>
      <c r="G65" s="269"/>
      <c r="H65" s="269"/>
      <c r="I65" s="269"/>
      <c r="J65" s="311"/>
      <c r="O65" s="129" t="s">
        <v>227</v>
      </c>
    </row>
    <row r="66" spans="1:15" x14ac:dyDescent="0.25">
      <c r="A66" s="305"/>
      <c r="B66" s="264"/>
      <c r="C66" s="267"/>
      <c r="D66" s="267"/>
      <c r="E66" s="267"/>
      <c r="F66" s="267"/>
      <c r="G66" s="270"/>
      <c r="H66" s="270"/>
      <c r="I66" s="270"/>
      <c r="J66" s="312"/>
      <c r="K66" s="151"/>
    </row>
    <row r="67" spans="1:15" ht="15" customHeight="1" x14ac:dyDescent="0.25">
      <c r="A67" s="305"/>
      <c r="B67" s="265"/>
      <c r="C67" s="485" t="s">
        <v>363</v>
      </c>
      <c r="D67" s="485"/>
      <c r="E67" s="485"/>
      <c r="F67" s="485"/>
      <c r="G67" s="271"/>
      <c r="H67" s="272"/>
      <c r="I67" s="268"/>
      <c r="J67" s="312"/>
      <c r="K67" s="151"/>
    </row>
    <row r="68" spans="1:15" ht="14.45" customHeight="1" x14ac:dyDescent="0.25">
      <c r="A68" s="305"/>
      <c r="B68" s="265"/>
      <c r="C68" s="479" t="s">
        <v>309</v>
      </c>
      <c r="D68" s="480"/>
      <c r="E68" s="479" t="s">
        <v>310</v>
      </c>
      <c r="F68" s="480"/>
      <c r="G68" s="472" t="s">
        <v>364</v>
      </c>
      <c r="H68" s="473"/>
      <c r="I68" s="258" t="s">
        <v>59</v>
      </c>
      <c r="J68" s="312"/>
      <c r="K68" s="151"/>
    </row>
    <row r="69" spans="1:15" x14ac:dyDescent="0.25">
      <c r="A69" s="305"/>
      <c r="B69" s="266"/>
      <c r="C69" s="224" t="str">
        <f>IF(TRL="2-3",IF(TransMedTech="Sans TransMedTech",'TRL1-3'!C52,'iTMT TRL1-3'!C52),IF(TransMedTech="Sans TransMedTech",'TRL4-6'!C54,'iTMT TRL4-6'!C53))</f>
        <v>$$$</v>
      </c>
      <c r="D69" s="224" t="str">
        <f>IF(TRL="2-3",IF(TransMedTech="Sans TransMedTech",'TRL1-3'!D52,'iTMT TRL1-3'!D52),IF(TransMedTech="Sans TransMedTech",'TRL4-6'!D54,'iTMT TRL4-6'!D53))</f>
        <v>%</v>
      </c>
      <c r="E69" s="224" t="str">
        <f>IF(TRL="2-3",IF(TransMedTech="Sans TransMedTech",'TRL1-3'!E52,'iTMT TRL1-3'!E52),IF(TransMedTech="Sans TransMedTech",'TRL4-6'!E54,'iTMT TRL4-6'!E53))</f>
        <v>$$$</v>
      </c>
      <c r="F69" s="224" t="str">
        <f>IF(TRL="2-3",IF(TransMedTech="Sans TransMedTech",'TRL1-3'!F52,'iTMT TRL1-3'!F52),IF(TransMedTech="Sans TransMedTech",'TRL4-6'!F54,'iTMT TRL4-6'!F53))</f>
        <v>%</v>
      </c>
      <c r="G69" s="504">
        <f>LOOKUP(Etablissement,Feuil1!D42:D64,Feuil1!E42:E64)</f>
        <v>0.27</v>
      </c>
      <c r="H69" s="505"/>
      <c r="I69" s="259"/>
      <c r="J69" s="312"/>
      <c r="K69" s="151"/>
    </row>
    <row r="70" spans="1:15" x14ac:dyDescent="0.25">
      <c r="A70" s="305"/>
      <c r="B70" s="252" t="s">
        <v>1</v>
      </c>
      <c r="C70" s="225" t="e">
        <f>IF(TRL="2-3",IF(TransMedTech="Sans / Without TransMedTech",'TRL1-3'!C16,'iTMT TRL1-3'!C16),IF(TransMedTech="Sans TransMedTech",'TRL4-6'!C17,'iTMT TRL4-6'!C17))</f>
        <v>#DIV/0!</v>
      </c>
      <c r="D70" s="226" t="e">
        <f>C70/G53</f>
        <v>#DIV/0!</v>
      </c>
      <c r="E70" s="227" t="s">
        <v>92</v>
      </c>
      <c r="F70" s="228" t="s">
        <v>92</v>
      </c>
      <c r="G70" s="506" t="s">
        <v>92</v>
      </c>
      <c r="H70" s="507"/>
      <c r="I70" s="260" t="e">
        <f>SUM(C70,E70,G70)</f>
        <v>#DIV/0!</v>
      </c>
      <c r="J70" s="312"/>
      <c r="K70" s="151"/>
    </row>
    <row r="71" spans="1:15" x14ac:dyDescent="0.25">
      <c r="A71" s="305"/>
      <c r="B71" s="252" t="s">
        <v>314</v>
      </c>
      <c r="C71" s="225" t="e">
        <f>IF(TRL="2-3",IF(TransMedTech="Sans / Without TransMedTech",'TRL1-3'!C17,'iTMT TRL1-3'!C17),IF(TransMedTech="Sans TransMedTech",'TRL4-6'!C18,'iTMT TRL4-6'!C18))</f>
        <v>#DIV/0!</v>
      </c>
      <c r="D71" s="226" t="e">
        <f>C71/G53</f>
        <v>#DIV/0!</v>
      </c>
      <c r="E71" s="227" t="s">
        <v>92</v>
      </c>
      <c r="F71" s="228" t="s">
        <v>92</v>
      </c>
      <c r="G71" s="506" t="s">
        <v>92</v>
      </c>
      <c r="H71" s="507"/>
      <c r="I71" s="260" t="e">
        <f>SUM(C71,E71,G71)</f>
        <v>#DIV/0!</v>
      </c>
      <c r="J71" s="312"/>
      <c r="K71" s="151"/>
    </row>
    <row r="72" spans="1:15" x14ac:dyDescent="0.25">
      <c r="A72" s="305"/>
      <c r="B72" s="252" t="s">
        <v>41</v>
      </c>
      <c r="C72" s="225">
        <f>IF(TRL="2-3",IF(TransMedTech="Sans / Without TransMedTech",'TRL1-3'!C15,'iTMT TRL1-3'!C15),IF(TransMedTech="Sans TransMedTech",'TRL4-6'!C16,'iTMT TRL4-6'!C16))</f>
        <v>0</v>
      </c>
      <c r="D72" s="226" t="e">
        <f>C72/G53</f>
        <v>#DIV/0!</v>
      </c>
      <c r="E72" s="227" t="s">
        <v>92</v>
      </c>
      <c r="F72" s="228" t="s">
        <v>92</v>
      </c>
      <c r="G72" s="508" t="e">
        <f>SUM(G30,G31,G34,G35,G39)*D72*G69</f>
        <v>#DIV/0!</v>
      </c>
      <c r="H72" s="509"/>
      <c r="I72" s="260" t="e">
        <f>SUM(C72,E72,G72)</f>
        <v>#DIV/0!</v>
      </c>
      <c r="J72" s="312"/>
      <c r="K72" s="151"/>
    </row>
    <row r="73" spans="1:15" x14ac:dyDescent="0.25">
      <c r="A73" s="305"/>
      <c r="B73" s="252" t="str">
        <f>IF(TransMedTech="Sans / Without TransMedTech","","TransMedTech Institute")</f>
        <v>TransMedTech Institute</v>
      </c>
      <c r="C73" s="225">
        <f>IF(TRL="2-3",IF(TransMedTech="Sans / Without TransMedTech","",'iTMT TRL1-3'!C18),IF(TransMedTech="Sans / Without TransMedTech","",'iTMT TRL4-6'!C19))</f>
        <v>0</v>
      </c>
      <c r="D73" s="226" t="e">
        <f>IF(TransMedTech="Sans / Without TransMedTech","",C73/G53)</f>
        <v>#DIV/0!</v>
      </c>
      <c r="E73" s="227" t="str">
        <f>IF(TransMedTech="Sans / Without TransMedTech","","N/A")</f>
        <v>N/A</v>
      </c>
      <c r="F73" s="235" t="str">
        <f>IF(TransMedTech="Sans / Without TransMedTech","","N/A")</f>
        <v>N/A</v>
      </c>
      <c r="G73" s="506" t="str">
        <f>IF(TransMedTech="Sans / Without TransMedTech","","N/A")</f>
        <v>N/A</v>
      </c>
      <c r="H73" s="507"/>
      <c r="I73" s="260">
        <f>IF(TransMedTech="Sans / Without TransMedTech","",SUM(C73,E73,G73))</f>
        <v>0</v>
      </c>
      <c r="J73" s="312"/>
      <c r="K73" s="151"/>
    </row>
    <row r="74" spans="1:15" ht="15.75" thickBot="1" x14ac:dyDescent="0.3">
      <c r="A74" s="305"/>
      <c r="B74" s="253" t="s">
        <v>315</v>
      </c>
      <c r="C74" s="254" t="e">
        <f>SUM(C70:C73)</f>
        <v>#DIV/0!</v>
      </c>
      <c r="D74" s="255" t="e">
        <f>SUM(D70:D73)</f>
        <v>#DIV/0!</v>
      </c>
      <c r="E74" s="256">
        <f>SUM(E70:E72)</f>
        <v>0</v>
      </c>
      <c r="F74" s="257">
        <v>0</v>
      </c>
      <c r="G74" s="510" t="s">
        <v>92</v>
      </c>
      <c r="H74" s="511"/>
      <c r="I74" s="261" t="e">
        <f>SUM(I70:I72)</f>
        <v>#DIV/0!</v>
      </c>
      <c r="J74" s="312"/>
      <c r="K74" s="151"/>
    </row>
    <row r="75" spans="1:15" x14ac:dyDescent="0.25">
      <c r="A75" s="305"/>
      <c r="B75" s="305"/>
      <c r="C75" s="305"/>
      <c r="D75" s="305"/>
      <c r="E75" s="305"/>
      <c r="F75" s="305"/>
      <c r="G75" s="305"/>
      <c r="H75" s="305"/>
      <c r="I75" s="305"/>
      <c r="J75" s="305"/>
      <c r="K75" s="151"/>
    </row>
    <row r="76" spans="1:15" ht="15.75" thickBot="1" x14ac:dyDescent="0.3">
      <c r="A76" s="305"/>
      <c r="B76" s="305"/>
      <c r="C76" s="305"/>
      <c r="D76" s="305"/>
      <c r="E76" s="305"/>
      <c r="F76" s="305"/>
      <c r="G76" s="305"/>
      <c r="H76" s="305"/>
      <c r="I76" s="305"/>
      <c r="J76" s="305"/>
    </row>
    <row r="77" spans="1:15" ht="14.45" customHeight="1" x14ac:dyDescent="0.25">
      <c r="A77" s="305"/>
      <c r="B77" s="491" t="s">
        <v>316</v>
      </c>
      <c r="C77" s="492"/>
      <c r="D77" s="492"/>
      <c r="E77" s="492"/>
      <c r="F77" s="492"/>
      <c r="G77" s="492"/>
      <c r="H77" s="493"/>
      <c r="I77" s="305"/>
      <c r="J77" s="305"/>
    </row>
    <row r="78" spans="1:15" ht="15" customHeight="1" thickBot="1" x14ac:dyDescent="0.3">
      <c r="A78" s="305"/>
      <c r="B78" s="494"/>
      <c r="C78" s="495"/>
      <c r="D78" s="495"/>
      <c r="E78" s="495"/>
      <c r="F78" s="495"/>
      <c r="G78" s="495"/>
      <c r="H78" s="496"/>
      <c r="I78" s="305"/>
      <c r="J78" s="305"/>
    </row>
    <row r="79" spans="1:15" ht="15.75" thickBot="1" x14ac:dyDescent="0.3">
      <c r="A79" s="305"/>
      <c r="B79" s="305"/>
      <c r="C79" s="305"/>
      <c r="D79" s="305"/>
      <c r="E79" s="305"/>
      <c r="F79" s="305"/>
      <c r="G79" s="305"/>
      <c r="H79" s="305"/>
      <c r="I79" s="305"/>
      <c r="J79" s="305"/>
    </row>
    <row r="80" spans="1:15" ht="16.5" thickBot="1" x14ac:dyDescent="0.3">
      <c r="A80" s="305"/>
      <c r="B80" s="537" t="s">
        <v>317</v>
      </c>
      <c r="C80" s="538"/>
      <c r="D80" s="538"/>
      <c r="E80" s="538"/>
      <c r="F80" s="538"/>
      <c r="G80" s="538"/>
      <c r="H80" s="539"/>
      <c r="I80" s="305"/>
      <c r="J80" s="305"/>
    </row>
    <row r="81" spans="1:10" x14ac:dyDescent="0.25">
      <c r="A81" s="305"/>
      <c r="B81" s="286" t="s">
        <v>318</v>
      </c>
      <c r="C81" s="500">
        <f>C24</f>
        <v>0</v>
      </c>
      <c r="D81" s="501"/>
      <c r="E81" s="149"/>
      <c r="F81" s="149"/>
      <c r="G81" s="149"/>
      <c r="H81" s="150"/>
      <c r="I81" s="305"/>
      <c r="J81" s="305"/>
    </row>
    <row r="82" spans="1:10" x14ac:dyDescent="0.25">
      <c r="A82" s="305"/>
      <c r="B82" s="285" t="s">
        <v>367</v>
      </c>
      <c r="C82" s="502" t="str">
        <f>IF(C25="","",C25)</f>
        <v/>
      </c>
      <c r="D82" s="503"/>
      <c r="E82" s="149"/>
      <c r="F82" s="149"/>
      <c r="G82" s="149"/>
      <c r="H82" s="150"/>
      <c r="I82" s="305"/>
      <c r="J82" s="305"/>
    </row>
    <row r="83" spans="1:10" x14ac:dyDescent="0.25">
      <c r="A83" s="305"/>
      <c r="B83" s="285" t="s">
        <v>366</v>
      </c>
      <c r="C83" s="502" t="str">
        <f>Etablissement</f>
        <v>Sélectionnez / Select</v>
      </c>
      <c r="D83" s="503"/>
      <c r="E83" s="149"/>
      <c r="F83" s="149"/>
      <c r="G83" s="149"/>
      <c r="H83" s="150"/>
      <c r="I83" s="305"/>
      <c r="J83" s="305"/>
    </row>
    <row r="84" spans="1:10" x14ac:dyDescent="0.25">
      <c r="A84" s="305"/>
      <c r="B84" s="285" t="s">
        <v>365</v>
      </c>
      <c r="C84" s="502" t="e">
        <f>IF(#REF!="Sélectionnez","",#REF!)</f>
        <v>#REF!</v>
      </c>
      <c r="D84" s="503"/>
      <c r="E84" s="149"/>
      <c r="F84" s="149"/>
      <c r="G84" s="149"/>
      <c r="H84" s="150"/>
      <c r="I84" s="305"/>
      <c r="J84" s="305"/>
    </row>
    <row r="85" spans="1:10" x14ac:dyDescent="0.25">
      <c r="A85" s="305"/>
      <c r="B85" s="285" t="s">
        <v>60</v>
      </c>
      <c r="C85" s="502" t="str">
        <f>IF(TRL="Sélectionnez","",TRL)</f>
        <v>Sélectionnez / Select</v>
      </c>
      <c r="D85" s="503"/>
      <c r="E85" s="149"/>
      <c r="F85" s="149"/>
      <c r="G85" s="149"/>
      <c r="H85" s="150"/>
      <c r="I85" s="305"/>
      <c r="J85" s="305"/>
    </row>
    <row r="86" spans="1:10" ht="45.75" thickBot="1" x14ac:dyDescent="0.3">
      <c r="A86" s="305"/>
      <c r="B86" s="364" t="s">
        <v>348</v>
      </c>
      <c r="C86" s="516">
        <f>G53</f>
        <v>0</v>
      </c>
      <c r="D86" s="517"/>
      <c r="E86" s="149"/>
      <c r="F86" s="149"/>
      <c r="G86" s="149"/>
      <c r="H86" s="150"/>
      <c r="I86" s="305"/>
      <c r="J86" s="305"/>
    </row>
    <row r="87" spans="1:10" x14ac:dyDescent="0.25">
      <c r="A87" s="305"/>
      <c r="B87" s="518" t="s">
        <v>319</v>
      </c>
      <c r="C87" s="521" t="str">
        <f>"- "&amp;B60</f>
        <v xml:space="preserve">- </v>
      </c>
      <c r="D87" s="522"/>
      <c r="E87" s="149"/>
      <c r="F87" s="149"/>
      <c r="G87" s="149"/>
      <c r="H87" s="150"/>
      <c r="I87" s="305"/>
      <c r="J87" s="305"/>
    </row>
    <row r="88" spans="1:10" x14ac:dyDescent="0.25">
      <c r="A88" s="305"/>
      <c r="B88" s="519"/>
      <c r="C88" s="523" t="str">
        <f t="shared" ref="C88:C90" si="6">"- "&amp;B61</f>
        <v xml:space="preserve">- </v>
      </c>
      <c r="D88" s="524"/>
      <c r="E88" s="149"/>
      <c r="F88" s="149"/>
      <c r="G88" s="149"/>
      <c r="H88" s="150"/>
      <c r="I88" s="305"/>
      <c r="J88" s="305"/>
    </row>
    <row r="89" spans="1:10" x14ac:dyDescent="0.25">
      <c r="A89" s="305"/>
      <c r="B89" s="519"/>
      <c r="C89" s="523" t="str">
        <f t="shared" si="6"/>
        <v xml:space="preserve">- </v>
      </c>
      <c r="D89" s="524"/>
      <c r="E89" s="149"/>
      <c r="F89" s="149"/>
      <c r="G89" s="149"/>
      <c r="H89" s="150"/>
      <c r="I89" s="305"/>
      <c r="J89" s="305"/>
    </row>
    <row r="90" spans="1:10" ht="15.75" thickBot="1" x14ac:dyDescent="0.3">
      <c r="A90" s="305"/>
      <c r="B90" s="520"/>
      <c r="C90" s="525" t="str">
        <f t="shared" si="6"/>
        <v xml:space="preserve">- </v>
      </c>
      <c r="D90" s="526"/>
      <c r="E90" s="149"/>
      <c r="F90" s="149"/>
      <c r="G90" s="149"/>
      <c r="H90" s="150"/>
      <c r="I90" s="305"/>
      <c r="J90" s="305"/>
    </row>
    <row r="91" spans="1:10" ht="16.5" thickBot="1" x14ac:dyDescent="0.3">
      <c r="A91" s="305"/>
      <c r="B91" s="537" t="s">
        <v>323</v>
      </c>
      <c r="C91" s="538"/>
      <c r="D91" s="538"/>
      <c r="E91" s="538"/>
      <c r="F91" s="538"/>
      <c r="G91" s="538"/>
      <c r="H91" s="539"/>
      <c r="I91" s="305"/>
      <c r="J91" s="305"/>
    </row>
    <row r="92" spans="1:10" x14ac:dyDescent="0.25">
      <c r="A92" s="305"/>
      <c r="B92" s="245" t="s">
        <v>320</v>
      </c>
      <c r="C92" s="243" t="s">
        <v>321</v>
      </c>
      <c r="D92" s="247" t="s">
        <v>104</v>
      </c>
      <c r="E92" s="147"/>
      <c r="F92" s="147"/>
      <c r="G92" s="147"/>
      <c r="H92" s="148"/>
      <c r="I92" s="305"/>
      <c r="J92" s="305"/>
    </row>
    <row r="93" spans="1:10" x14ac:dyDescent="0.25">
      <c r="A93" s="305"/>
      <c r="B93" s="287" t="s">
        <v>110</v>
      </c>
      <c r="C93" s="288" t="e">
        <f>C59+E59</f>
        <v>#DIV/0!</v>
      </c>
      <c r="D93" s="297" t="e">
        <f>D59+F59</f>
        <v>#DIV/0!</v>
      </c>
      <c r="E93" s="157"/>
      <c r="F93" s="157"/>
      <c r="G93" s="157"/>
      <c r="H93" s="158"/>
      <c r="I93" s="305"/>
      <c r="J93" s="305"/>
    </row>
    <row r="94" spans="1:10" x14ac:dyDescent="0.25">
      <c r="A94" s="305"/>
      <c r="B94" s="289" t="str">
        <f t="shared" ref="B94:D97" si="7">B70</f>
        <v>Oncopole</v>
      </c>
      <c r="C94" s="290" t="e">
        <f t="shared" si="7"/>
        <v>#DIV/0!</v>
      </c>
      <c r="D94" s="298" t="e">
        <f t="shared" si="7"/>
        <v>#DIV/0!</v>
      </c>
      <c r="E94" s="149"/>
      <c r="F94" s="149"/>
      <c r="G94" s="149"/>
      <c r="H94" s="150"/>
      <c r="I94" s="305"/>
      <c r="J94" s="305"/>
    </row>
    <row r="95" spans="1:10" x14ac:dyDescent="0.25">
      <c r="A95" s="305"/>
      <c r="B95" s="289" t="str">
        <f t="shared" si="7"/>
        <v>CRS</v>
      </c>
      <c r="C95" s="290" t="e">
        <f t="shared" si="7"/>
        <v>#DIV/0!</v>
      </c>
      <c r="D95" s="298" t="e">
        <f t="shared" si="7"/>
        <v>#DIV/0!</v>
      </c>
      <c r="E95" s="149"/>
      <c r="F95" s="149"/>
      <c r="G95" s="149"/>
      <c r="H95" s="150"/>
      <c r="I95" s="305"/>
      <c r="J95" s="305"/>
    </row>
    <row r="96" spans="1:10" x14ac:dyDescent="0.25">
      <c r="A96" s="305"/>
      <c r="B96" s="289" t="str">
        <f t="shared" si="7"/>
        <v>MEDTEQ</v>
      </c>
      <c r="C96" s="290">
        <f t="shared" si="7"/>
        <v>0</v>
      </c>
      <c r="D96" s="298" t="e">
        <f t="shared" si="7"/>
        <v>#DIV/0!</v>
      </c>
      <c r="E96" s="149"/>
      <c r="F96" s="149"/>
      <c r="G96" s="149"/>
      <c r="H96" s="150"/>
      <c r="I96" s="305"/>
      <c r="J96" s="305"/>
    </row>
    <row r="97" spans="1:10" ht="15.75" thickBot="1" x14ac:dyDescent="0.3">
      <c r="A97" s="305"/>
      <c r="B97" s="299" t="str">
        <f t="shared" si="7"/>
        <v>TransMedTech Institute</v>
      </c>
      <c r="C97" s="300">
        <f t="shared" si="7"/>
        <v>0</v>
      </c>
      <c r="D97" s="301" t="e">
        <f t="shared" si="7"/>
        <v>#DIV/0!</v>
      </c>
      <c r="E97" s="149"/>
      <c r="F97" s="149"/>
      <c r="G97" s="149"/>
      <c r="H97" s="150"/>
      <c r="I97" s="305"/>
      <c r="J97" s="305"/>
    </row>
    <row r="98" spans="1:10" ht="16.5" thickBot="1" x14ac:dyDescent="0.3">
      <c r="A98" s="305"/>
      <c r="B98" s="537" t="s">
        <v>332</v>
      </c>
      <c r="C98" s="538"/>
      <c r="D98" s="538"/>
      <c r="E98" s="538"/>
      <c r="F98" s="538"/>
      <c r="G98" s="538"/>
      <c r="H98" s="539"/>
      <c r="I98" s="305"/>
      <c r="J98" s="305"/>
    </row>
    <row r="99" spans="1:10" x14ac:dyDescent="0.25">
      <c r="A99" s="305"/>
      <c r="B99" s="245" t="s">
        <v>226</v>
      </c>
      <c r="C99" s="242" t="s">
        <v>369</v>
      </c>
      <c r="D99" s="242" t="s">
        <v>322</v>
      </c>
      <c r="E99" s="242" t="s">
        <v>368</v>
      </c>
      <c r="F99" s="513" t="s">
        <v>311</v>
      </c>
      <c r="G99" s="514"/>
      <c r="H99" s="248" t="s">
        <v>153</v>
      </c>
      <c r="I99" s="305"/>
      <c r="J99" s="305"/>
    </row>
    <row r="100" spans="1:10" x14ac:dyDescent="0.25">
      <c r="A100" s="305"/>
      <c r="B100" s="291" t="str">
        <f>B60</f>
        <v/>
      </c>
      <c r="C100" s="290" t="e">
        <f>C60-D100</f>
        <v>#DIV/0!</v>
      </c>
      <c r="D100" s="288" t="e">
        <f>$G47*(FIR_Ind/D59)</f>
        <v>#DIV/0!</v>
      </c>
      <c r="E100" s="290">
        <f>G60</f>
        <v>0</v>
      </c>
      <c r="F100" s="515">
        <f>I60</f>
        <v>0</v>
      </c>
      <c r="G100" s="515"/>
      <c r="H100" s="292" t="e">
        <f>SUM(C100:G100)</f>
        <v>#DIV/0!</v>
      </c>
      <c r="I100" s="305"/>
      <c r="J100" s="305"/>
    </row>
    <row r="101" spans="1:10" x14ac:dyDescent="0.25">
      <c r="A101" s="305"/>
      <c r="B101" s="291" t="str">
        <f>B61</f>
        <v/>
      </c>
      <c r="C101" s="290" t="e">
        <f t="shared" ref="C101:C103" si="8">C61-D101</f>
        <v>#DIV/0!</v>
      </c>
      <c r="D101" s="288" t="e">
        <f>G47*D61/D59</f>
        <v>#DIV/0!</v>
      </c>
      <c r="E101" s="290">
        <f>G61</f>
        <v>0</v>
      </c>
      <c r="F101" s="515">
        <f t="shared" ref="F101:F103" si="9">I61</f>
        <v>0</v>
      </c>
      <c r="G101" s="515"/>
      <c r="H101" s="292" t="e">
        <f t="shared" ref="H101:H103" si="10">SUM(C101:G101)</f>
        <v>#DIV/0!</v>
      </c>
      <c r="I101" s="305"/>
      <c r="J101" s="305"/>
    </row>
    <row r="102" spans="1:10" x14ac:dyDescent="0.25">
      <c r="A102" s="305"/>
      <c r="B102" s="291" t="str">
        <f>B62</f>
        <v/>
      </c>
      <c r="C102" s="290" t="e">
        <f t="shared" si="8"/>
        <v>#DIV/0!</v>
      </c>
      <c r="D102" s="288" t="e">
        <f>$G47*(D62/D59)</f>
        <v>#DIV/0!</v>
      </c>
      <c r="E102" s="290">
        <f t="shared" ref="E102:E103" si="11">G62</f>
        <v>0</v>
      </c>
      <c r="F102" s="515">
        <f t="shared" si="9"/>
        <v>0</v>
      </c>
      <c r="G102" s="515"/>
      <c r="H102" s="292" t="e">
        <f t="shared" si="10"/>
        <v>#DIV/0!</v>
      </c>
      <c r="I102" s="305"/>
      <c r="J102" s="305"/>
    </row>
    <row r="103" spans="1:10" ht="15.75" thickBot="1" x14ac:dyDescent="0.3">
      <c r="A103" s="305"/>
      <c r="B103" s="293" t="str">
        <f>B63</f>
        <v/>
      </c>
      <c r="C103" s="295" t="e">
        <f t="shared" si="8"/>
        <v>#DIV/0!</v>
      </c>
      <c r="D103" s="294" t="e">
        <f>$G47*(D63/D59)</f>
        <v>#DIV/0!</v>
      </c>
      <c r="E103" s="295">
        <f t="shared" si="11"/>
        <v>0</v>
      </c>
      <c r="F103" s="512">
        <f t="shared" si="9"/>
        <v>0</v>
      </c>
      <c r="G103" s="512"/>
      <c r="H103" s="296" t="e">
        <f t="shared" si="10"/>
        <v>#DIV/0!</v>
      </c>
      <c r="I103" s="305"/>
      <c r="J103" s="305"/>
    </row>
    <row r="104" spans="1:10" x14ac:dyDescent="0.25">
      <c r="A104" s="305"/>
      <c r="B104" s="305"/>
      <c r="C104" s="305"/>
      <c r="D104" s="305"/>
      <c r="E104" s="305"/>
      <c r="F104" s="305"/>
      <c r="G104" s="305"/>
      <c r="H104" s="305"/>
      <c r="I104" s="305"/>
      <c r="J104" s="305"/>
    </row>
    <row r="105" spans="1:10" x14ac:dyDescent="0.25">
      <c r="A105" s="305"/>
      <c r="B105" s="305"/>
      <c r="C105" s="305"/>
      <c r="D105" s="305"/>
      <c r="E105" s="305"/>
      <c r="F105" s="305"/>
      <c r="G105" s="305"/>
      <c r="H105" s="305"/>
      <c r="I105" s="305"/>
      <c r="J105" s="305"/>
    </row>
    <row r="106" spans="1:10" x14ac:dyDescent="0.25">
      <c r="A106" s="305"/>
      <c r="B106" s="305"/>
      <c r="C106" s="305"/>
      <c r="D106" s="305"/>
      <c r="E106" s="305"/>
      <c r="F106" s="305"/>
      <c r="G106" s="305"/>
      <c r="H106" s="305"/>
      <c r="I106" s="305"/>
      <c r="J106" s="305"/>
    </row>
    <row r="107" spans="1:10" x14ac:dyDescent="0.25">
      <c r="A107" s="305"/>
      <c r="B107" s="305"/>
      <c r="C107" s="305"/>
      <c r="D107" s="305"/>
      <c r="E107" s="305"/>
      <c r="F107" s="305"/>
      <c r="G107" s="305"/>
      <c r="H107" s="305"/>
      <c r="I107" s="305"/>
      <c r="J107" s="305"/>
    </row>
    <row r="108" spans="1:10" x14ac:dyDescent="0.25">
      <c r="A108" s="305"/>
    </row>
  </sheetData>
  <protectedRanges>
    <protectedRange sqref="C60:C63 E60:E63" name="Coût des industriels"/>
    <protectedRange sqref="H34:H36 H38:H40 H42 G51 H30:H32 C30:F32 C34:F36 C38:F40 C42:F42" name="Budget de recherche"/>
    <protectedRange sqref="E22:I25" name="Info industriels"/>
    <protectedRange sqref="C20:C25" name="Info projet"/>
  </protectedRanges>
  <mergeCells count="123">
    <mergeCell ref="F103:G103"/>
    <mergeCell ref="B91:H91"/>
    <mergeCell ref="B98:H98"/>
    <mergeCell ref="F99:G99"/>
    <mergeCell ref="F100:G100"/>
    <mergeCell ref="F101:G101"/>
    <mergeCell ref="F102:G102"/>
    <mergeCell ref="C85:D85"/>
    <mergeCell ref="C86:D86"/>
    <mergeCell ref="B87:B90"/>
    <mergeCell ref="C87:D87"/>
    <mergeCell ref="C88:D88"/>
    <mergeCell ref="C89:D89"/>
    <mergeCell ref="C90:D90"/>
    <mergeCell ref="B77:H78"/>
    <mergeCell ref="B80:H80"/>
    <mergeCell ref="C81:D81"/>
    <mergeCell ref="C82:D82"/>
    <mergeCell ref="C83:D83"/>
    <mergeCell ref="C84:D84"/>
    <mergeCell ref="G69:H69"/>
    <mergeCell ref="G70:H70"/>
    <mergeCell ref="G71:H71"/>
    <mergeCell ref="G72:H72"/>
    <mergeCell ref="G73:H73"/>
    <mergeCell ref="G74:H74"/>
    <mergeCell ref="G63:H63"/>
    <mergeCell ref="C65:F65"/>
    <mergeCell ref="C67:F67"/>
    <mergeCell ref="C68:D68"/>
    <mergeCell ref="E68:F68"/>
    <mergeCell ref="G68:H68"/>
    <mergeCell ref="E57:F57"/>
    <mergeCell ref="G58:H58"/>
    <mergeCell ref="G59:H59"/>
    <mergeCell ref="G60:H60"/>
    <mergeCell ref="G61:H61"/>
    <mergeCell ref="G62:H62"/>
    <mergeCell ref="G51:H51"/>
    <mergeCell ref="C52:D52"/>
    <mergeCell ref="G53:H53"/>
    <mergeCell ref="B55:J55"/>
    <mergeCell ref="B56:B57"/>
    <mergeCell ref="C56:F56"/>
    <mergeCell ref="G56:H57"/>
    <mergeCell ref="I56:I58"/>
    <mergeCell ref="J56:J57"/>
    <mergeCell ref="C57:D57"/>
    <mergeCell ref="C47:D47"/>
    <mergeCell ref="E47:F47"/>
    <mergeCell ref="G47:H47"/>
    <mergeCell ref="C49:D49"/>
    <mergeCell ref="E49:F49"/>
    <mergeCell ref="G49:H49"/>
    <mergeCell ref="C45:D45"/>
    <mergeCell ref="E45:F45"/>
    <mergeCell ref="G45:H45"/>
    <mergeCell ref="C46:D46"/>
    <mergeCell ref="E46:F46"/>
    <mergeCell ref="G46:H46"/>
    <mergeCell ref="C42:D42"/>
    <mergeCell ref="E42:F42"/>
    <mergeCell ref="G42:H42"/>
    <mergeCell ref="C43:D43"/>
    <mergeCell ref="E43:F43"/>
    <mergeCell ref="G43:H43"/>
    <mergeCell ref="C40:D40"/>
    <mergeCell ref="E40:F40"/>
    <mergeCell ref="G40:H40"/>
    <mergeCell ref="C41:D41"/>
    <mergeCell ref="E41:F41"/>
    <mergeCell ref="G41:H41"/>
    <mergeCell ref="C38:D38"/>
    <mergeCell ref="E38:F38"/>
    <mergeCell ref="G38:H38"/>
    <mergeCell ref="C39:D39"/>
    <mergeCell ref="E39:F39"/>
    <mergeCell ref="G39:H39"/>
    <mergeCell ref="C36:D36"/>
    <mergeCell ref="E36:F36"/>
    <mergeCell ref="G36:H36"/>
    <mergeCell ref="C37:D37"/>
    <mergeCell ref="E37:F37"/>
    <mergeCell ref="G37:H37"/>
    <mergeCell ref="C34:D34"/>
    <mergeCell ref="E34:F34"/>
    <mergeCell ref="G34:H34"/>
    <mergeCell ref="C35:D35"/>
    <mergeCell ref="E35:F35"/>
    <mergeCell ref="G35:H35"/>
    <mergeCell ref="C32:D32"/>
    <mergeCell ref="E32:F32"/>
    <mergeCell ref="G32:H32"/>
    <mergeCell ref="C33:D33"/>
    <mergeCell ref="E33:F33"/>
    <mergeCell ref="G33:H33"/>
    <mergeCell ref="C30:D30"/>
    <mergeCell ref="E30:F30"/>
    <mergeCell ref="G30:H30"/>
    <mergeCell ref="C31:D31"/>
    <mergeCell ref="E31:F31"/>
    <mergeCell ref="G31:H31"/>
    <mergeCell ref="E25:F25"/>
    <mergeCell ref="B27:H27"/>
    <mergeCell ref="C28:D28"/>
    <mergeCell ref="E28:F28"/>
    <mergeCell ref="G28:H28"/>
    <mergeCell ref="C29:D29"/>
    <mergeCell ref="E29:F29"/>
    <mergeCell ref="G29:H29"/>
    <mergeCell ref="L13:M13"/>
    <mergeCell ref="B19:C19"/>
    <mergeCell ref="E20:I20"/>
    <mergeCell ref="E21:F21"/>
    <mergeCell ref="E22:F22"/>
    <mergeCell ref="E23:F23"/>
    <mergeCell ref="E24:F24"/>
    <mergeCell ref="B11:I11"/>
    <mergeCell ref="B12:I12"/>
    <mergeCell ref="B13:I13"/>
    <mergeCell ref="B14:I14"/>
    <mergeCell ref="B15:I15"/>
    <mergeCell ref="B16:I16"/>
  </mergeCells>
  <conditionalFormatting sqref="C30:C32 E30:E32">
    <cfRule type="containsBlanks" dxfId="47" priority="23">
      <formula>LEN(TRIM(C30))=0</formula>
    </cfRule>
  </conditionalFormatting>
  <conditionalFormatting sqref="C34:C36 E34:E36">
    <cfRule type="containsBlanks" dxfId="46" priority="20">
      <formula>LEN(TRIM(C34))=0</formula>
    </cfRule>
  </conditionalFormatting>
  <conditionalFormatting sqref="C38:C40 E38:E40">
    <cfRule type="containsBlanks" dxfId="45" priority="19">
      <formula>LEN(TRIM(C38))=0</formula>
    </cfRule>
  </conditionalFormatting>
  <conditionalFormatting sqref="C42 E42">
    <cfRule type="containsBlanks" dxfId="44" priority="17">
      <formula>LEN(TRIM(C42))=0</formula>
    </cfRule>
  </conditionalFormatting>
  <conditionalFormatting sqref="C25 C20:C23">
    <cfRule type="cellIs" dxfId="43" priority="16" operator="equal">
      <formula>"Sélectionnez"</formula>
    </cfRule>
  </conditionalFormatting>
  <conditionalFormatting sqref="B65">
    <cfRule type="expression" dxfId="42" priority="15">
      <formula>$D$38=Mitacs</formula>
    </cfRule>
  </conditionalFormatting>
  <conditionalFormatting sqref="C65">
    <cfRule type="cellIs" dxfId="41" priority="9" operator="equal">
      <formula>"OK"</formula>
    </cfRule>
  </conditionalFormatting>
  <conditionalFormatting sqref="G22:I25">
    <cfRule type="cellIs" dxfId="40" priority="13" operator="equal">
      <formula>"Sélectionnez"</formula>
    </cfRule>
  </conditionalFormatting>
  <conditionalFormatting sqref="C64:F64">
    <cfRule type="cellIs" dxfId="39" priority="10" operator="lessThan">
      <formula>0</formula>
    </cfRule>
    <cfRule type="cellIs" dxfId="38" priority="11" operator="greaterThan">
      <formula>0</formula>
    </cfRule>
    <cfRule type="cellIs" dxfId="37" priority="12" operator="equal">
      <formula>0</formula>
    </cfRule>
  </conditionalFormatting>
  <conditionalFormatting sqref="C24:C25">
    <cfRule type="cellIs" dxfId="36" priority="5" operator="equal">
      <formula>""</formula>
    </cfRule>
    <cfRule type="cellIs" dxfId="35" priority="8" operator="equal">
      <formula>"Entrer le nom"</formula>
    </cfRule>
  </conditionalFormatting>
  <conditionalFormatting sqref="C65:F65">
    <cfRule type="cellIs" dxfId="34" priority="7" operator="equal">
      <formula>"""CONTRIBUTION EN ESPÈCE ET EN NATURE INSUFFISANTE"</formula>
    </cfRule>
  </conditionalFormatting>
  <conditionalFormatting sqref="C24">
    <cfRule type="cellIs" dxfId="33" priority="6" operator="equal">
      <formula>"Sélectionnez"</formula>
    </cfRule>
  </conditionalFormatting>
  <conditionalFormatting sqref="G22:I25 C20:C25">
    <cfRule type="cellIs" dxfId="32" priority="3" operator="equal">
      <formula>"Select"</formula>
    </cfRule>
  </conditionalFormatting>
  <conditionalFormatting sqref="B73:I73">
    <cfRule type="cellIs" dxfId="31" priority="1" operator="equal">
      <formula>""</formula>
    </cfRule>
  </conditionalFormatting>
  <conditionalFormatting sqref="G51">
    <cfRule type="cellIs" dxfId="30" priority="71" operator="lessThanOrEqual">
      <formula>IF($C$21="2-3",0,0.25*$G$49)</formula>
    </cfRule>
    <cfRule type="cellIs" dxfId="29" priority="72" operator="greaterThan">
      <formula>IF($C$21="2-3",0,$G$49*0.25)</formula>
    </cfRule>
  </conditionalFormatting>
  <dataValidations count="7">
    <dataValidation type="whole" allowBlank="1" showInputMessage="1" showErrorMessage="1" error="Les montants doivent être des nombres entiers" sqref="C29:G43">
      <formula1>0</formula1>
      <formula2>99999999999</formula2>
    </dataValidation>
    <dataValidation type="list" allowBlank="1" showInputMessage="1" showErrorMessage="1" sqref="C20">
      <formula1>"FRA,ENG"</formula1>
    </dataValidation>
    <dataValidation type="list" allowBlank="1" showInputMessage="1" showErrorMessage="1" sqref="G22:G25">
      <formula1>$K$40:$K$56</formula1>
    </dataValidation>
    <dataValidation type="list" allowBlank="1" showInputMessage="1" showErrorMessage="1" sqref="C22">
      <formula1>$L$60:$L$62</formula1>
    </dataValidation>
    <dataValidation type="list" allowBlank="1" showInputMessage="1" showErrorMessage="1" sqref="C23">
      <formula1>$K$15:$K$36</formula1>
    </dataValidation>
    <dataValidation type="list" allowBlank="1" showInputMessage="1" showErrorMessage="1" sqref="H22:H25">
      <formula1>$N$60:$N$62</formula1>
    </dataValidation>
    <dataValidation type="list" allowBlank="1" showInputMessage="1" showErrorMessage="1" sqref="I22:I25">
      <formula1>$O$60:$O$65</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Feuil1!$G$31:$G$33</xm:f>
          </x14:formula1>
          <xm:sqref>C21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128"/>
  <sheetViews>
    <sheetView tabSelected="1" topLeftCell="A76" zoomScaleNormal="100" workbookViewId="0">
      <selection activeCell="B8" sqref="B8"/>
    </sheetView>
  </sheetViews>
  <sheetFormatPr baseColWidth="10" defaultColWidth="9.140625" defaultRowHeight="15" x14ac:dyDescent="0.25"/>
  <cols>
    <col min="2" max="2" width="41.7109375" customWidth="1"/>
    <col min="3" max="3" width="26.7109375" customWidth="1"/>
    <col min="4" max="4" width="19.28515625" customWidth="1"/>
    <col min="5" max="5" width="28.140625" customWidth="1"/>
    <col min="6" max="6" width="11.7109375" customWidth="1"/>
    <col min="7" max="7" width="32.140625" customWidth="1"/>
    <col min="8" max="8" width="21.28515625" customWidth="1"/>
    <col min="9" max="9" width="23.42578125" customWidth="1"/>
    <col min="10" max="10" width="33.85546875" customWidth="1"/>
    <col min="11" max="11" width="10.7109375" customWidth="1"/>
    <col min="12" max="12" width="11.28515625" bestFit="1" customWidth="1"/>
  </cols>
  <sheetData>
    <row r="1" spans="1:10" x14ac:dyDescent="0.25">
      <c r="A1" s="305"/>
      <c r="B1" s="305"/>
      <c r="C1" s="305"/>
      <c r="D1" s="305"/>
      <c r="E1" s="305"/>
      <c r="F1" s="305"/>
      <c r="G1" s="305"/>
      <c r="H1" s="305"/>
      <c r="I1" s="305"/>
      <c r="J1" s="305"/>
    </row>
    <row r="2" spans="1:10" x14ac:dyDescent="0.25">
      <c r="A2" s="305"/>
      <c r="B2" s="305"/>
      <c r="C2" s="305"/>
      <c r="E2" s="305"/>
      <c r="F2" s="305"/>
      <c r="G2" s="305"/>
      <c r="H2" s="305"/>
      <c r="I2" s="305"/>
      <c r="J2" s="305"/>
    </row>
    <row r="3" spans="1:10" x14ac:dyDescent="0.25">
      <c r="A3" s="305"/>
      <c r="B3" s="305"/>
      <c r="C3" s="305"/>
      <c r="D3" s="305"/>
      <c r="E3" s="305"/>
      <c r="F3" s="305"/>
      <c r="G3" s="305"/>
      <c r="H3" s="305"/>
      <c r="I3" s="305"/>
      <c r="J3" s="305"/>
    </row>
    <row r="4" spans="1:10" x14ac:dyDescent="0.25">
      <c r="A4" s="305"/>
      <c r="B4" s="305"/>
      <c r="C4" s="305"/>
      <c r="D4" s="305"/>
      <c r="E4" s="305"/>
      <c r="F4" s="305"/>
      <c r="G4" s="305"/>
      <c r="H4" s="305"/>
      <c r="I4" s="305"/>
      <c r="J4" s="305"/>
    </row>
    <row r="5" spans="1:10" x14ac:dyDescent="0.25">
      <c r="A5" s="305"/>
      <c r="B5" s="305"/>
      <c r="D5" s="305"/>
      <c r="E5" s="305"/>
      <c r="F5" s="305"/>
      <c r="G5" s="305"/>
      <c r="H5" s="305"/>
      <c r="I5" s="305"/>
      <c r="J5" s="305"/>
    </row>
    <row r="6" spans="1:10" x14ac:dyDescent="0.25">
      <c r="A6" s="305"/>
      <c r="B6" s="305"/>
      <c r="C6" s="305"/>
      <c r="E6" s="305"/>
      <c r="F6" s="305"/>
      <c r="G6" s="305"/>
      <c r="H6" s="305"/>
      <c r="I6" s="305"/>
      <c r="J6" s="305"/>
    </row>
    <row r="7" spans="1:10" x14ac:dyDescent="0.25">
      <c r="A7" s="305"/>
      <c r="B7" s="305"/>
      <c r="C7" s="305"/>
      <c r="D7" s="305"/>
      <c r="E7" s="305"/>
      <c r="F7" s="305"/>
      <c r="G7" s="305"/>
      <c r="H7" s="305"/>
      <c r="I7" s="305"/>
      <c r="J7" s="305"/>
    </row>
    <row r="8" spans="1:10" ht="36" x14ac:dyDescent="0.55000000000000004">
      <c r="A8" s="305"/>
      <c r="B8" s="305"/>
      <c r="C8" s="305"/>
      <c r="D8" s="307" t="str">
        <f>IF(C20="FRA",FRA!D8,ENG!D8)</f>
        <v>Concours Onco-Tech</v>
      </c>
      <c r="E8" s="305"/>
      <c r="F8" s="305"/>
      <c r="G8" s="305"/>
      <c r="H8" s="305"/>
      <c r="I8" s="305"/>
      <c r="J8" s="305"/>
    </row>
    <row r="9" spans="1:10" x14ac:dyDescent="0.25">
      <c r="A9" s="305"/>
      <c r="B9" s="305"/>
      <c r="C9" s="305"/>
      <c r="D9" s="305"/>
      <c r="E9" s="305"/>
      <c r="F9" s="305"/>
      <c r="G9" s="305"/>
      <c r="H9" s="305"/>
      <c r="I9" s="305"/>
      <c r="J9" s="305"/>
    </row>
    <row r="10" spans="1:10" x14ac:dyDescent="0.25">
      <c r="A10" s="305"/>
      <c r="B10" s="306" t="str">
        <f>IF(C20="FRA",FRA!B10,ENG!B10)</f>
        <v>Instructions</v>
      </c>
      <c r="C10" s="305"/>
      <c r="D10" s="305"/>
      <c r="E10" s="305"/>
      <c r="F10" s="305"/>
      <c r="G10" s="305"/>
      <c r="H10" s="305"/>
      <c r="I10" s="305"/>
      <c r="J10" s="305"/>
    </row>
    <row r="11" spans="1:10" x14ac:dyDescent="0.25">
      <c r="A11" s="305"/>
      <c r="B11" s="551" t="str">
        <f>IF($C$20="FRA",FRA!B11,ENG!B11)</f>
        <v>1- Remplir le tableau ''1. Informations sur le projet''.</v>
      </c>
      <c r="C11" s="551"/>
      <c r="D11" s="551"/>
      <c r="E11" s="551"/>
      <c r="F11" s="551"/>
      <c r="G11" s="551"/>
      <c r="H11" s="551"/>
      <c r="I11" s="551"/>
      <c r="J11" s="305"/>
    </row>
    <row r="12" spans="1:10" ht="25.5" customHeight="1" x14ac:dyDescent="0.25">
      <c r="A12" s="305"/>
      <c r="B12" s="551" t="str">
        <f>IF($C$20="FRA",FRA!B12,ENG!B12)</f>
        <v>2- Entrer le nom de l'industrie partenaire dans le tableau ''2.Partenaires au projet'', et compléter les informations sur la ou les organisation(s) (listes déroulantes des cases à droite).</v>
      </c>
      <c r="C12" s="551"/>
      <c r="D12" s="551"/>
      <c r="E12" s="551"/>
      <c r="F12" s="551"/>
      <c r="G12" s="551"/>
      <c r="H12" s="551"/>
      <c r="I12" s="551"/>
      <c r="J12" s="305"/>
    </row>
    <row r="13" spans="1:10" ht="80.25" customHeight="1" x14ac:dyDescent="0.25">
      <c r="A13" s="305"/>
      <c r="B13" s="550" t="str">
        <f>IF($C$20="FRA",FRA!B13,ENG!B13)</f>
        <v xml:space="preserve">3- Incrire les dépenses liées au projet dans les postes budgétaires correspondants, dans le cases jaunes du tableau ''3. Budget de Recherche Détaillé''. Prendre note que pour les projets de NMT 4-5, une contribution en nature de la part des partenaires industriels est requise.  Celle ci sera calculée automatiquement et indiquée à la ligne B51. 
Veuillez indiquer à la case G51, puis à la case E60 le montant équivalent à la contribution en nature industriel rèel (égal ou inférieur au montant maximal admissible suggéré à la ligne B51). La case devient rouge si le montant excède la limite de 20% du budget de projet total. 
</v>
      </c>
      <c r="C13" s="550"/>
      <c r="D13" s="550"/>
      <c r="E13" s="550"/>
      <c r="F13" s="550"/>
      <c r="G13" s="550"/>
      <c r="H13" s="550"/>
      <c r="I13" s="550"/>
      <c r="J13" s="305"/>
    </row>
    <row r="14" spans="1:10" ht="29.45" customHeight="1" x14ac:dyDescent="0.25">
      <c r="A14" s="305"/>
      <c r="B14" s="552" t="str">
        <f>IF($C$20="FRA",FRA!B14,ENG!B14)</f>
        <v>4-  Inscrire le montant de la contribution industrielle réel en espèces et en nature nécessaire des industriels respectivement aux cases C60 et E60. Un "OK" en vert indique que le montage financier est équilibré.</v>
      </c>
      <c r="C14" s="552"/>
      <c r="D14" s="552"/>
      <c r="E14" s="552"/>
      <c r="F14" s="552"/>
      <c r="G14" s="552"/>
      <c r="H14" s="552"/>
      <c r="I14" s="552"/>
      <c r="J14" s="305"/>
    </row>
    <row r="15" spans="1:10" ht="15" customHeight="1" x14ac:dyDescent="0.25">
      <c r="A15" s="305"/>
      <c r="B15" s="551" t="str">
        <f>IF($C$20="FRA",FRA!B15,ENG!B15)</f>
        <v>5- Le tableau ''5. Sommaire'' est généré automatiquement et récapitule les données de montage financier liées au projet.</v>
      </c>
      <c r="C15" s="551"/>
      <c r="D15" s="551"/>
      <c r="E15" s="551"/>
      <c r="F15" s="551"/>
      <c r="G15" s="551"/>
      <c r="H15" s="551"/>
      <c r="I15" s="551"/>
      <c r="J15" s="305"/>
    </row>
    <row r="16" spans="1:10" ht="58.15" customHeight="1" x14ac:dyDescent="0.25">
      <c r="A16" s="305"/>
      <c r="B16" s="553" t="str">
        <f>IF($C$20="FRA",FRA!B16,ENG!B16)</f>
        <v xml:space="preserve">6- SOUMISSION DU BUDGET  : Veuillez soumettre le présent fichier sous format EXCEL et PDF (1 page) avec votre demande complète.  Pour générer le PDF d'une page à joindre à l'application complète, veuillez vous diriger vers la page sommaire générée dans l'onglet Excel "PrintSheet"(voir au bas de ce classeur Excel). Veuillez l'imprimer/''enregistrer sous'' la page en format PDF en utilisant la fonction ''Fit Sheet to One Page''. Pour toute question, veuillez contacter : Djazia.Liamini@medteq.ca 
</v>
      </c>
      <c r="C16" s="553"/>
      <c r="D16" s="553"/>
      <c r="E16" s="553"/>
      <c r="F16" s="553"/>
      <c r="G16" s="553"/>
      <c r="H16" s="553"/>
      <c r="I16" s="553"/>
      <c r="J16" s="305"/>
    </row>
    <row r="17" spans="1:11" x14ac:dyDescent="0.25">
      <c r="A17" s="305"/>
      <c r="B17" s="551" t="str">
        <f>IF($C$20="FRA",FRA!B17,ENG!B17)</f>
        <v>** Les abréviations se retrouvent en bas de la page</v>
      </c>
      <c r="C17" s="551"/>
      <c r="D17" s="551"/>
      <c r="E17" s="551"/>
      <c r="F17" s="551"/>
      <c r="G17" s="551"/>
      <c r="H17" s="551"/>
      <c r="I17" s="551"/>
      <c r="J17" s="305"/>
    </row>
    <row r="18" spans="1:11" ht="15.75" thickBot="1" x14ac:dyDescent="0.3">
      <c r="A18" s="305"/>
      <c r="B18" s="305"/>
      <c r="C18" s="305"/>
      <c r="D18" s="305"/>
      <c r="E18" s="305"/>
      <c r="F18" s="305"/>
      <c r="G18" s="305"/>
      <c r="H18" s="305"/>
      <c r="I18" s="305"/>
      <c r="J18" s="305"/>
    </row>
    <row r="19" spans="1:11" ht="15.75" thickBot="1" x14ac:dyDescent="0.3">
      <c r="A19" s="305"/>
      <c r="B19" s="411" t="str">
        <f>IF(C20="FRA",FRA!B19,ENG!B19)</f>
        <v>1. INFORMATIONS SUR LE PROJET</v>
      </c>
      <c r="C19" s="412"/>
      <c r="D19" s="305"/>
      <c r="E19" s="305"/>
      <c r="F19" s="305"/>
      <c r="G19" s="305"/>
      <c r="H19" s="305"/>
      <c r="I19" s="305"/>
      <c r="J19" s="305"/>
    </row>
    <row r="20" spans="1:11" ht="15.75" thickBot="1" x14ac:dyDescent="0.3">
      <c r="A20" s="305"/>
      <c r="B20" s="275" t="str">
        <f>IF(C20="FRA",FRA!B20,ENG!B20)</f>
        <v>Langue</v>
      </c>
      <c r="C20" s="276" t="s">
        <v>343</v>
      </c>
      <c r="D20" s="305"/>
      <c r="E20" s="413" t="str">
        <f>IF(C20="FRA",FRA!E20,ENG!E20)</f>
        <v>2. PARTENAIRES AU PROJET</v>
      </c>
      <c r="F20" s="414"/>
      <c r="G20" s="414"/>
      <c r="H20" s="414"/>
      <c r="I20" s="415"/>
      <c r="J20" s="305"/>
    </row>
    <row r="21" spans="1:11" x14ac:dyDescent="0.25">
      <c r="A21" s="305"/>
      <c r="B21" s="275" t="str">
        <f>IF(C20="FRA",FRA!B21,ENG!B21)</f>
        <v>NMT (TRL) de projet</v>
      </c>
      <c r="C21" s="276" t="s">
        <v>256</v>
      </c>
      <c r="D21" s="305"/>
      <c r="E21" s="416" t="str">
        <f>IF(C20="FRA",FRA!E21,ENG!E21)</f>
        <v>Industriels/partenaire privés</v>
      </c>
      <c r="F21" s="417"/>
      <c r="G21" s="283" t="str">
        <f>IF($C$20="FRA",FRA!G21,ENG!G21)</f>
        <v>Type d'organisation</v>
      </c>
      <c r="H21" s="174" t="str">
        <f>IF(C20="FRA",FRA!H21,ENG!H21)</f>
        <v>Membre MEDTEQ?</v>
      </c>
      <c r="I21" s="175" t="str">
        <f>IF(C20="FRA",FRA!I21,ENG!I21)</f>
        <v xml:space="preserve">Catégorie </v>
      </c>
      <c r="J21" s="305"/>
      <c r="K21" s="151"/>
    </row>
    <row r="22" spans="1:11" x14ac:dyDescent="0.25">
      <c r="A22" s="305"/>
      <c r="B22" s="275" t="str">
        <f>IF(C20="FRA",FRA!B22,ENG!B22)</f>
        <v>Institut TransMedTech</v>
      </c>
      <c r="C22" s="316" t="s">
        <v>256</v>
      </c>
      <c r="D22" s="305"/>
      <c r="E22" s="418"/>
      <c r="F22" s="419"/>
      <c r="G22" s="314" t="s">
        <v>256</v>
      </c>
      <c r="H22" s="315" t="s">
        <v>256</v>
      </c>
      <c r="I22" s="316" t="s">
        <v>256</v>
      </c>
      <c r="J22" s="305"/>
      <c r="K22" s="151"/>
    </row>
    <row r="23" spans="1:11" x14ac:dyDescent="0.25">
      <c r="A23" s="305"/>
      <c r="B23" s="275" t="str">
        <f>IF(C20="FRA",FRA!B23,ENG!B23)</f>
        <v>Établissement de recherche (1)</v>
      </c>
      <c r="C23" s="348" t="s">
        <v>256</v>
      </c>
      <c r="D23" s="305"/>
      <c r="E23" s="418"/>
      <c r="F23" s="419"/>
      <c r="G23" s="314" t="s">
        <v>256</v>
      </c>
      <c r="H23" s="315" t="s">
        <v>256</v>
      </c>
      <c r="I23" s="316" t="s">
        <v>256</v>
      </c>
      <c r="J23" s="305"/>
      <c r="K23" s="151"/>
    </row>
    <row r="24" spans="1:11" x14ac:dyDescent="0.25">
      <c r="A24" s="305"/>
      <c r="B24" s="275" t="str">
        <f>IF(C20="FRA",FRA!B24,ENG!B24)</f>
        <v>Prénom, nom du chercheur principal (1)</v>
      </c>
      <c r="C24" s="348"/>
      <c r="D24" s="305"/>
      <c r="E24" s="418"/>
      <c r="F24" s="419"/>
      <c r="G24" s="314" t="s">
        <v>256</v>
      </c>
      <c r="H24" s="315" t="s">
        <v>256</v>
      </c>
      <c r="I24" s="316" t="s">
        <v>256</v>
      </c>
      <c r="J24" s="308"/>
      <c r="K24" s="159"/>
    </row>
    <row r="25" spans="1:11" ht="15.75" thickBot="1" x14ac:dyDescent="0.3">
      <c r="A25" s="305"/>
      <c r="B25" s="181" t="str">
        <f>IF(C20="FRA",FRA!B25,ENG!B25)</f>
        <v>Prénom, nom du chercheur principal (2)</v>
      </c>
      <c r="C25" s="349"/>
      <c r="D25" s="305"/>
      <c r="E25" s="532"/>
      <c r="F25" s="533"/>
      <c r="G25" s="317" t="s">
        <v>256</v>
      </c>
      <c r="H25" s="318" t="s">
        <v>256</v>
      </c>
      <c r="I25" s="317" t="s">
        <v>256</v>
      </c>
      <c r="J25" s="308"/>
      <c r="K25" s="159"/>
    </row>
    <row r="26" spans="1:11" ht="15.75" thickBot="1" x14ac:dyDescent="0.3">
      <c r="A26" s="305"/>
      <c r="B26" s="305"/>
      <c r="C26" s="305"/>
      <c r="D26" s="305"/>
      <c r="E26" s="305"/>
      <c r="F26" s="305"/>
      <c r="G26" s="305"/>
      <c r="H26" s="305"/>
      <c r="I26" s="305"/>
      <c r="J26" s="305"/>
    </row>
    <row r="27" spans="1:11" ht="24" thickBot="1" x14ac:dyDescent="0.3">
      <c r="A27" s="305"/>
      <c r="B27" s="428" t="str">
        <f>IF(C20="FRA",FRA!B27,ENG!B27)</f>
        <v>3. BUDGET DE RECHERCHE DÉTAILLÉ</v>
      </c>
      <c r="C27" s="429"/>
      <c r="D27" s="429"/>
      <c r="E27" s="429"/>
      <c r="F27" s="429"/>
      <c r="G27" s="430"/>
      <c r="H27" s="334"/>
      <c r="I27" s="309"/>
      <c r="J27" s="305"/>
    </row>
    <row r="28" spans="1:11" ht="15.75" thickBot="1" x14ac:dyDescent="0.3">
      <c r="A28" s="305"/>
      <c r="B28" s="210" t="str">
        <f>IF(C20="FRA",FRA!B28,ENG!B28)</f>
        <v>ANNÉE</v>
      </c>
      <c r="C28" s="431">
        <f>IF(C20="FRA",FRA!C28,ENG!C28)</f>
        <v>1</v>
      </c>
      <c r="D28" s="432">
        <f>IF(E19="FRA",FRA!D28,ENG!D28)</f>
        <v>0</v>
      </c>
      <c r="E28" s="431">
        <f>IF(C20="FRA",FRA!E28,ENG!E28)</f>
        <v>2</v>
      </c>
      <c r="F28" s="432">
        <f>IF(G19="FRA",FRA!F28,ENG!F28)</f>
        <v>0</v>
      </c>
      <c r="G28" s="335" t="str">
        <f>IF(C20="FRA",FRA!G28,ENG!G28)</f>
        <v>TOTAL</v>
      </c>
      <c r="H28" s="305"/>
      <c r="I28" s="305"/>
      <c r="J28" s="305"/>
    </row>
    <row r="29" spans="1:11" x14ac:dyDescent="0.25">
      <c r="A29" s="305"/>
      <c r="B29" s="183" t="str">
        <f>IF(C20="FRA",FRA!B29,ENG!B29)</f>
        <v>PERSONNEL</v>
      </c>
      <c r="C29" s="434">
        <f>SUM(C30:C32)</f>
        <v>0</v>
      </c>
      <c r="D29" s="435"/>
      <c r="E29" s="434">
        <f>SUM(E30:E32)</f>
        <v>0</v>
      </c>
      <c r="F29" s="435"/>
      <c r="G29" s="336">
        <f>SUM(C29:F29)</f>
        <v>0</v>
      </c>
      <c r="H29" s="305"/>
      <c r="I29" s="305"/>
      <c r="J29" s="305"/>
    </row>
    <row r="30" spans="1:11" x14ac:dyDescent="0.25">
      <c r="A30" s="305"/>
      <c r="B30" s="188" t="str">
        <f>IF(C20="FRA",FRA!B30,ENG!B30)</f>
        <v>- Étudiant(s)</v>
      </c>
      <c r="C30" s="424"/>
      <c r="D30" s="425"/>
      <c r="E30" s="424"/>
      <c r="F30" s="425"/>
      <c r="G30" s="337">
        <f>SUM(C30:F30)</f>
        <v>0</v>
      </c>
      <c r="H30" s="305"/>
      <c r="I30" s="305"/>
      <c r="J30" s="305"/>
    </row>
    <row r="31" spans="1:11" x14ac:dyDescent="0.25">
      <c r="A31" s="305"/>
      <c r="B31" s="188" t="str">
        <f>IF(C20="FRA",FRA!B31,ENG!B31)</f>
        <v>- Technicien(s)</v>
      </c>
      <c r="C31" s="424"/>
      <c r="D31" s="425"/>
      <c r="E31" s="424"/>
      <c r="F31" s="425"/>
      <c r="G31" s="337">
        <f t="shared" ref="G31:G32" si="0">SUM(C31:F31)</f>
        <v>0</v>
      </c>
      <c r="H31" s="305"/>
      <c r="I31" s="305"/>
      <c r="J31" s="305"/>
    </row>
    <row r="32" spans="1:11" x14ac:dyDescent="0.25">
      <c r="A32" s="305"/>
      <c r="B32" s="189" t="str">
        <f>IF(C20="FRA",FRA!B32,ENG!B32)</f>
        <v>- Autres</v>
      </c>
      <c r="C32" s="424"/>
      <c r="D32" s="425"/>
      <c r="E32" s="424"/>
      <c r="F32" s="425"/>
      <c r="G32" s="337">
        <f t="shared" si="0"/>
        <v>0</v>
      </c>
      <c r="H32" s="305"/>
      <c r="I32" s="305"/>
      <c r="J32" s="305"/>
    </row>
    <row r="33" spans="1:10" x14ac:dyDescent="0.25">
      <c r="A33" s="305"/>
      <c r="B33" s="184" t="str">
        <f>IF(C20="FRA",FRA!B33,ENG!B33)</f>
        <v>MATÉRIEL ET CONSOMMABLES</v>
      </c>
      <c r="C33" s="438">
        <f>SUM(C34:C36)</f>
        <v>0</v>
      </c>
      <c r="D33" s="439"/>
      <c r="E33" s="438">
        <f>SUM(E34:E36)</f>
        <v>0</v>
      </c>
      <c r="F33" s="439"/>
      <c r="G33" s="338">
        <f t="shared" ref="G33:G42" si="1">SUM(C33:F33)</f>
        <v>0</v>
      </c>
      <c r="H33" s="305"/>
      <c r="I33" s="305"/>
      <c r="J33" s="305"/>
    </row>
    <row r="34" spans="1:10" x14ac:dyDescent="0.25">
      <c r="A34" s="305"/>
      <c r="B34" s="190" t="str">
        <f>IF(C20="FRA",FRA!B34,ENG!B34)</f>
        <v xml:space="preserve">·  Matériaux et fournitures </v>
      </c>
      <c r="C34" s="424"/>
      <c r="D34" s="425"/>
      <c r="E34" s="424"/>
      <c r="F34" s="425"/>
      <c r="G34" s="337">
        <f t="shared" si="1"/>
        <v>0</v>
      </c>
      <c r="H34" s="305"/>
      <c r="I34" s="305"/>
      <c r="J34" s="305"/>
    </row>
    <row r="35" spans="1:10" x14ac:dyDescent="0.25">
      <c r="A35" s="305"/>
      <c r="B35" s="190" t="str">
        <f>IF(C20="FRA",FRA!B35,ENG!B35)</f>
        <v xml:space="preserve">·  Frais d’utilisation </v>
      </c>
      <c r="C35" s="424"/>
      <c r="D35" s="425"/>
      <c r="E35" s="424"/>
      <c r="F35" s="425"/>
      <c r="G35" s="337">
        <f t="shared" si="1"/>
        <v>0</v>
      </c>
      <c r="H35" s="305"/>
      <c r="I35" s="305"/>
      <c r="J35" s="305"/>
    </row>
    <row r="36" spans="1:10" x14ac:dyDescent="0.25">
      <c r="A36" s="305"/>
      <c r="B36" s="191" t="str">
        <f>IF(C20="FRA",FRA!B36,ENG!B36)</f>
        <v xml:space="preserve">·  Autres </v>
      </c>
      <c r="C36" s="424"/>
      <c r="D36" s="425"/>
      <c r="E36" s="424"/>
      <c r="F36" s="425"/>
      <c r="G36" s="337">
        <f t="shared" si="1"/>
        <v>0</v>
      </c>
      <c r="H36" s="305"/>
      <c r="I36" s="305"/>
      <c r="J36" s="305"/>
    </row>
    <row r="37" spans="1:10" x14ac:dyDescent="0.25">
      <c r="A37" s="305"/>
      <c r="B37" s="185" t="str">
        <f>IF(C20="FRA",FRA!B37,ENG!B37)</f>
        <v>DIFFUSION DES CONNAISSANCES</v>
      </c>
      <c r="C37" s="438">
        <f>SUM(C38:C40)</f>
        <v>0</v>
      </c>
      <c r="D37" s="439"/>
      <c r="E37" s="438">
        <f>SUM(E38:E40)</f>
        <v>0</v>
      </c>
      <c r="F37" s="439"/>
      <c r="G37" s="338">
        <f t="shared" si="1"/>
        <v>0</v>
      </c>
      <c r="H37" s="305"/>
      <c r="I37" s="305"/>
      <c r="J37" s="305"/>
    </row>
    <row r="38" spans="1:10" x14ac:dyDescent="0.25">
      <c r="A38" s="305"/>
      <c r="B38" s="190" t="str">
        <f>IF(C20="FRA",FRA!B38,ENG!B38)</f>
        <v xml:space="preserve">·  Conférence </v>
      </c>
      <c r="C38" s="424"/>
      <c r="D38" s="425"/>
      <c r="E38" s="424"/>
      <c r="F38" s="425"/>
      <c r="G38" s="337">
        <f t="shared" si="1"/>
        <v>0</v>
      </c>
      <c r="H38" s="305"/>
      <c r="I38" s="305"/>
      <c r="J38" s="305"/>
    </row>
    <row r="39" spans="1:10" x14ac:dyDescent="0.25">
      <c r="A39" s="305"/>
      <c r="B39" s="190" t="str">
        <f>IF(C20="FRA",FRA!B39,ENG!B39)</f>
        <v xml:space="preserve">·  Frais de voyage </v>
      </c>
      <c r="C39" s="424"/>
      <c r="D39" s="425"/>
      <c r="E39" s="424"/>
      <c r="F39" s="425"/>
      <c r="G39" s="337">
        <f t="shared" si="1"/>
        <v>0</v>
      </c>
      <c r="H39" s="305"/>
      <c r="I39" s="305"/>
      <c r="J39" s="305"/>
    </row>
    <row r="40" spans="1:10" x14ac:dyDescent="0.25">
      <c r="A40" s="305"/>
      <c r="B40" s="190" t="str">
        <f>IF(C20="FRA",FRA!B40,ENG!B40)</f>
        <v xml:space="preserve">·  Frais liés à la diffusion </v>
      </c>
      <c r="C40" s="424"/>
      <c r="D40" s="425"/>
      <c r="E40" s="424"/>
      <c r="F40" s="425"/>
      <c r="G40" s="337">
        <f t="shared" si="1"/>
        <v>0</v>
      </c>
      <c r="H40" s="305"/>
      <c r="I40" s="305"/>
      <c r="J40" s="305"/>
    </row>
    <row r="41" spans="1:10" x14ac:dyDescent="0.25">
      <c r="A41" s="305"/>
      <c r="B41" s="185" t="str">
        <f>IF(C20="FRA",FRA!B41,ENG!B41)</f>
        <v xml:space="preserve">AUTRES DÉPENSES </v>
      </c>
      <c r="C41" s="438">
        <f>C42</f>
        <v>0</v>
      </c>
      <c r="D41" s="439"/>
      <c r="E41" s="438">
        <f>E42</f>
        <v>0</v>
      </c>
      <c r="F41" s="439"/>
      <c r="G41" s="338">
        <f t="shared" si="1"/>
        <v>0</v>
      </c>
      <c r="H41" s="305"/>
      <c r="I41" s="305"/>
      <c r="J41" s="305"/>
    </row>
    <row r="42" spans="1:10" ht="15.75" thickBot="1" x14ac:dyDescent="0.3">
      <c r="A42" s="305"/>
      <c r="B42" s="192" t="str">
        <f>IF(C20="FRA",FRA!B42,ENG!B42)</f>
        <v xml:space="preserve">·  Préciser </v>
      </c>
      <c r="C42" s="442"/>
      <c r="D42" s="443"/>
      <c r="E42" s="442"/>
      <c r="F42" s="443"/>
      <c r="G42" s="339">
        <f t="shared" si="1"/>
        <v>0</v>
      </c>
      <c r="H42" s="305"/>
      <c r="I42" s="305"/>
      <c r="J42" s="305"/>
    </row>
    <row r="43" spans="1:10" ht="15.75" thickTop="1" x14ac:dyDescent="0.25">
      <c r="A43" s="305"/>
      <c r="B43" s="186" t="str">
        <f>IF(C20="FRA",FRA!B43,ENG!B43)</f>
        <v>TOTAL DU COÛT DE LA RECHERCHE</v>
      </c>
      <c r="C43" s="446">
        <f>C29+C33+C37+C41</f>
        <v>0</v>
      </c>
      <c r="D43" s="447"/>
      <c r="E43" s="446">
        <f>E29+E33+E37+E41</f>
        <v>0</v>
      </c>
      <c r="F43" s="447"/>
      <c r="G43" s="340">
        <f>G29+G33+G37+G41</f>
        <v>0</v>
      </c>
      <c r="H43" s="305"/>
      <c r="I43" s="305"/>
      <c r="J43" s="305"/>
    </row>
    <row r="44" spans="1:10" x14ac:dyDescent="0.25">
      <c r="A44" s="305"/>
      <c r="B44" s="195"/>
      <c r="C44" s="196"/>
      <c r="D44" s="196"/>
      <c r="E44" s="196"/>
      <c r="F44" s="196"/>
      <c r="G44" s="341"/>
      <c r="H44" s="305"/>
      <c r="I44" s="305"/>
      <c r="J44" s="305"/>
    </row>
    <row r="45" spans="1:10" x14ac:dyDescent="0.25">
      <c r="A45" s="305"/>
      <c r="B45" s="193" t="str">
        <f>IF(C20="FRA",FRA!B45,ENG!B45)</f>
        <v>FRAIS DE GESTION (FG)  (5%)</v>
      </c>
      <c r="C45" s="456">
        <f>SUM(C46:D47)</f>
        <v>0</v>
      </c>
      <c r="D45" s="457"/>
      <c r="E45" s="456">
        <f t="shared" ref="E45" si="2">SUM(E46:F47)</f>
        <v>0</v>
      </c>
      <c r="F45" s="457"/>
      <c r="G45" s="342">
        <f>SUM(G46:H47)</f>
        <v>0</v>
      </c>
      <c r="H45" s="305"/>
      <c r="I45" s="305"/>
      <c r="J45" s="305"/>
    </row>
    <row r="46" spans="1:10" x14ac:dyDescent="0.25">
      <c r="A46" s="305"/>
      <c r="B46" s="190" t="str">
        <f>IF(C20="FRA",FRA!B46,ENG!B46)</f>
        <v>Payé par le MÉI  (2%)</v>
      </c>
      <c r="C46" s="456">
        <f>0.02*C43</f>
        <v>0</v>
      </c>
      <c r="D46" s="457"/>
      <c r="E46" s="456">
        <f t="shared" ref="E46" si="3">0.02*E43</f>
        <v>0</v>
      </c>
      <c r="F46" s="457"/>
      <c r="G46" s="343">
        <f>SUM(C46:F46)</f>
        <v>0</v>
      </c>
      <c r="H46" s="305"/>
      <c r="I46" s="305"/>
      <c r="J46" s="305"/>
    </row>
    <row r="47" spans="1:10" x14ac:dyDescent="0.25">
      <c r="A47" s="305"/>
      <c r="B47" s="194" t="str">
        <f>IF(C20="FRA",FRA!B47,ENG!B47)</f>
        <v xml:space="preserve">Payé par les partenaires industriels (3%) </v>
      </c>
      <c r="C47" s="450">
        <f>0.03*C43</f>
        <v>0</v>
      </c>
      <c r="D47" s="451"/>
      <c r="E47" s="450">
        <f t="shared" ref="E47" si="4">0.03*E43</f>
        <v>0</v>
      </c>
      <c r="F47" s="451"/>
      <c r="G47" s="344">
        <f>SUM(C47:F47)</f>
        <v>0</v>
      </c>
      <c r="H47" s="305"/>
      <c r="I47" s="305"/>
      <c r="J47" s="305"/>
    </row>
    <row r="48" spans="1:10" ht="15.75" thickBot="1" x14ac:dyDescent="0.3">
      <c r="A48" s="305"/>
      <c r="B48" s="198"/>
      <c r="C48" s="199"/>
      <c r="D48" s="199"/>
      <c r="E48" s="199"/>
      <c r="F48" s="199"/>
      <c r="G48" s="345"/>
      <c r="H48" s="305"/>
      <c r="I48" s="305"/>
      <c r="J48" s="305"/>
    </row>
    <row r="49" spans="1:12" ht="15.75" thickTop="1" x14ac:dyDescent="0.25">
      <c r="A49" s="305"/>
      <c r="B49" s="187" t="str">
        <f>IF(C20="FRA",FRA!B49,ENG!B49)</f>
        <v>TOTAL DES DÉPENSES ADMISSIBLES</v>
      </c>
      <c r="C49" s="446">
        <f>C43+C45</f>
        <v>0</v>
      </c>
      <c r="D49" s="447"/>
      <c r="E49" s="446">
        <f>E43+E45</f>
        <v>0</v>
      </c>
      <c r="F49" s="447"/>
      <c r="G49" s="346">
        <f>G43+G45</f>
        <v>0</v>
      </c>
      <c r="H49" s="305"/>
      <c r="I49" s="305"/>
      <c r="J49" s="305"/>
    </row>
    <row r="50" spans="1:12" ht="15.75" thickBot="1" x14ac:dyDescent="0.3">
      <c r="A50" s="305"/>
      <c r="B50" s="195"/>
      <c r="C50" s="196"/>
      <c r="D50" s="196"/>
      <c r="E50" s="196"/>
      <c r="F50" s="196"/>
      <c r="G50" s="341"/>
      <c r="H50" s="305"/>
      <c r="I50" s="305"/>
      <c r="J50" s="305"/>
    </row>
    <row r="51" spans="1:12" ht="15.75" thickBot="1" x14ac:dyDescent="0.3">
      <c r="A51" s="305"/>
      <c r="B51" s="208" t="str">
        <f>IF(C20="FRA",FRA!B51,ENG!B51)</f>
        <v>Montant en nature pris en compte (max : 20 % du coût total admissible du projet = 0 $)</v>
      </c>
      <c r="C51" s="209"/>
      <c r="D51" s="209"/>
      <c r="E51" s="209"/>
      <c r="F51" s="209"/>
      <c r="G51" s="361"/>
      <c r="H51" s="305"/>
      <c r="I51" s="305"/>
      <c r="J51" s="305"/>
      <c r="K51" s="151"/>
    </row>
    <row r="52" spans="1:12" ht="15.75" thickBot="1" x14ac:dyDescent="0.3">
      <c r="A52" s="305"/>
      <c r="B52" s="201"/>
      <c r="C52" s="464"/>
      <c r="D52" s="464"/>
      <c r="E52" s="202"/>
      <c r="F52" s="202"/>
      <c r="G52" s="360"/>
      <c r="H52" s="305"/>
      <c r="I52" s="305"/>
      <c r="J52" s="305"/>
      <c r="K52" s="151"/>
      <c r="L52" s="143"/>
    </row>
    <row r="53" spans="1:12" ht="16.5" thickTop="1" thickBot="1" x14ac:dyDescent="0.3">
      <c r="A53" s="305"/>
      <c r="B53" s="205" t="str">
        <f>IF(C20="FRA",FRA!B53,ENG!B53)</f>
        <v>CÔUT TOTAL ADMISSIBLE DU PROJET</v>
      </c>
      <c r="C53" s="206"/>
      <c r="D53" s="206"/>
      <c r="E53" s="207"/>
      <c r="F53" s="207"/>
      <c r="G53" s="347">
        <f>G49+G51</f>
        <v>0</v>
      </c>
      <c r="H53" s="305"/>
      <c r="I53" s="305"/>
      <c r="J53" s="305"/>
      <c r="K53" s="151"/>
    </row>
    <row r="54" spans="1:12" ht="15.75" thickBot="1" x14ac:dyDescent="0.3">
      <c r="A54" s="305"/>
      <c r="B54" s="305"/>
      <c r="C54" s="305"/>
      <c r="D54" s="305"/>
      <c r="E54" s="305"/>
      <c r="F54" s="305"/>
      <c r="G54" s="305"/>
      <c r="H54" s="305"/>
      <c r="I54" s="305"/>
      <c r="J54" s="305"/>
      <c r="K54" s="151"/>
    </row>
    <row r="55" spans="1:12" ht="14.45" customHeight="1" thickBot="1" x14ac:dyDescent="0.3">
      <c r="A55" s="305"/>
      <c r="B55" s="467" t="str">
        <f>IF(C20="FRA",FRA!B55,ENG!B55)</f>
        <v>4. RÉPARTITION DU FINANCEMENT</v>
      </c>
      <c r="C55" s="429"/>
      <c r="D55" s="429"/>
      <c r="E55" s="429"/>
      <c r="F55" s="429"/>
      <c r="G55" s="429"/>
      <c r="H55" s="429"/>
      <c r="I55" s="430"/>
      <c r="J55" s="305"/>
      <c r="K55" s="151"/>
    </row>
    <row r="56" spans="1:12" ht="15" customHeight="1" x14ac:dyDescent="0.25">
      <c r="A56" s="305"/>
      <c r="B56" s="541"/>
      <c r="C56" s="486" t="str">
        <f>IF(C20="FRA",FRA!C56,ENG!C56)</f>
        <v>Séparation du coût total admissible du projet</v>
      </c>
      <c r="D56" s="486"/>
      <c r="E56" s="486"/>
      <c r="F56" s="480"/>
      <c r="G56" s="472" t="str">
        <f>IF(C20="FRA",FRA!G56,ENG!G56)</f>
        <v>Frais indirects de recherche</v>
      </c>
      <c r="H56" s="486" t="str">
        <f>IF(C20="FRA",FRA!I56,ENG!I56)</f>
        <v>Frais d'adhésion MEDTEQ</v>
      </c>
      <c r="I56" s="475" t="str">
        <f>IF(C20="FRA",FRA!J56,ENG!J56)</f>
        <v>TOTAL</v>
      </c>
      <c r="J56" s="305"/>
      <c r="K56" s="151"/>
    </row>
    <row r="57" spans="1:12" ht="14.45" customHeight="1" x14ac:dyDescent="0.25">
      <c r="A57" s="305"/>
      <c r="B57" s="541"/>
      <c r="C57" s="486" t="str">
        <f>IF(C20="FRA",FRA!C57,ENG!C57)</f>
        <v>En espèces (FG inclus)</v>
      </c>
      <c r="D57" s="480"/>
      <c r="E57" s="486" t="str">
        <f>IF(C20="FRA",FRA!E57,ENG!E57)</f>
        <v>En nature</v>
      </c>
      <c r="F57" s="480"/>
      <c r="G57" s="472"/>
      <c r="H57" s="486"/>
      <c r="I57" s="475"/>
      <c r="J57" s="305"/>
      <c r="K57" s="151"/>
    </row>
    <row r="58" spans="1:12" ht="15.75" thickBot="1" x14ac:dyDescent="0.3">
      <c r="A58" s="305"/>
      <c r="B58" s="332"/>
      <c r="C58" s="331" t="s">
        <v>103</v>
      </c>
      <c r="D58" s="212" t="s">
        <v>104</v>
      </c>
      <c r="E58" s="213" t="s">
        <v>103</v>
      </c>
      <c r="F58" s="212" t="s">
        <v>104</v>
      </c>
      <c r="G58" s="214" t="s">
        <v>99</v>
      </c>
      <c r="H58" s="540"/>
      <c r="I58" s="324" t="str">
        <f>IF(C20="FRA",FRA!J58,ENG!J58)</f>
        <v>(avant taxes)</v>
      </c>
      <c r="J58" s="305"/>
      <c r="K58" s="151"/>
    </row>
    <row r="59" spans="1:12" ht="19.899999999999999" customHeight="1" thickBot="1" x14ac:dyDescent="0.3">
      <c r="A59" s="305"/>
      <c r="B59" s="216" t="str">
        <f>IF(C20="FRA",FRA!B59,ENG!B59)</f>
        <v>Total demandé au(x) industriel(s)</v>
      </c>
      <c r="C59" s="217" t="e">
        <f>IF(TRL="2-3",IF(TransMedTech="Sans / Without TransMedTech",'TRL1-3'!C18,'iTMT TRL1-3'!C19),IF(TransMedTech="Sans / Without TransMedTech",'TRL4-6'!C19,'iTMT TRL4-6'!C20))</f>
        <v>#DIV/0!</v>
      </c>
      <c r="D59" s="218" t="e">
        <f>C59/G53</f>
        <v>#DIV/0!</v>
      </c>
      <c r="E59" s="219">
        <f>IF(TRL="2-3",0,G51)</f>
        <v>0</v>
      </c>
      <c r="F59" s="218" t="e">
        <f>E59/G53</f>
        <v>#DIV/0!</v>
      </c>
      <c r="G59" s="221">
        <f>LOOKUP(Etablissement,Feuil1!D42:D64,Feuil1!E42:E64)</f>
        <v>0.27</v>
      </c>
      <c r="H59" s="322"/>
      <c r="I59" s="325"/>
      <c r="J59" s="305"/>
      <c r="K59" s="151"/>
    </row>
    <row r="60" spans="1:12" x14ac:dyDescent="0.25">
      <c r="A60" s="305"/>
      <c r="B60" s="250" t="str">
        <f>IF(E22="","",E22)</f>
        <v/>
      </c>
      <c r="C60" s="152"/>
      <c r="D60" s="229" t="e">
        <f>C60/$G$53</f>
        <v>#DIV/0!</v>
      </c>
      <c r="E60" s="152"/>
      <c r="F60" s="229" t="e">
        <f>E60/$G$53</f>
        <v>#DIV/0!</v>
      </c>
      <c r="G60" s="321">
        <f>C60*G$59</f>
        <v>0</v>
      </c>
      <c r="H60" s="321">
        <f>IF(H22="Oui / Yes",0,
IF(AND(G22="Compagnie / Compagny",I22="Moins de deux ans d'activité / Less than 2 years of activity"),350,0)+
IF(AND(G22="Compagnie / Compagny",I22="Moins de / Less than 5 M$"),850,0)+
IF(AND(G22="Compagnie / Compagny",I22="5 M$ - 10 M$"),1800,0)+
IF(AND(G22="Compagnie / Compagny",I22="10 M$ - 50 M$"),1800,0)+
IF(AND(G22="Compagnie / Compagny",I22="Plus de / More than 50 M$"),4000,0)+
IF(AND(G22="Société de consultation / Consulting firm",I22="Moins de deux ans d'activité / Less than 2 years of activity"),4000,0)+
IF(AND(G22="Société de consultation / Consulting firm",I22="Moins de / Less than 5 M$"),4000,0)+
IF(AND(G22="Société de consultation / Consulting firm",I22="5 M$ - 10 M$"),4000,0)+
IF(AND(G22="Société de consultation / Consulting firm",I22="10 M$ - 50 M$"),7500,0)+
IF(AND(G22="Société de consultation / Consulting firm",I22="Plus de / More than 50 M$"),7500,0)+
IF(G22="Université / University",4000,0)+
IF(G22="CCTT",1800,0)+
IF(G22="Centre de recherche / Research Center", 4000,0)+
IF(G22="CHU / UHC",4000,0)+
IF(G22="CIUSSS",4000,0)+
IF(G22="Institut / Institute",4000,0)+
IF(G22="CISSS",1800,0)+
IF(AND(G22="Organisation caritative / Charitable organization",I22="Moins de deux ans d'activité / Less than 2 years of activity"),850,0)+
IF(AND(G22="Organisation caritative / Charitable organization",I22="Moins de / Less than 5 M$"),850,0)+
IF(AND(G22="Organisation caritative / Charitable organization",I22="5 M$ - 10 M$"),1800,0)+
IF(AND(G22="Organisation caritative / Charitable organization",I22="10 M$ - 50 M$"),1800,0)+
IF(AND(G22="Organisation caritative / Charitable organization",I22="Plus de / More than 50 M$"),1800,0)+
IF(AND(G22="Fondation",I22="Moins de deux ans d'activité / Less than 2 years of activity"),850,0)+
IF(AND(G22="Fondation",I22="Moins de / Less than 5 M$"),850,0)+
IF(AND(G22="Fondation",I22="5 M$ - 10 M$"),1800,0)+
IF(AND(G22="Fondation",I22="10 M$ - 50 M$"),1800,0)+
IF(AND(G22="Fondation",I22="Plus de / More than 50 M$"),1800,0)+
IF(G22="Groupe d'intérêt / Interest group",850,0)+
IF(G22="Fédération / Federation",850,0)+
IF(G22="Incubateur-accélérateur / Incubator-accelerator",5000,0)+
IF(G22="Société de valorisation / Technology transfer organization",5000,0)+
IF(G22="Organisme international / International Member",5000,0))</f>
        <v>0</v>
      </c>
      <c r="I60" s="326">
        <f>C60+E60+G60+H60</f>
        <v>0</v>
      </c>
      <c r="J60" s="305"/>
      <c r="K60" s="151"/>
    </row>
    <row r="61" spans="1:12" x14ac:dyDescent="0.25">
      <c r="A61" s="305"/>
      <c r="B61" s="250" t="str">
        <f>IF(E23="","",E23)</f>
        <v/>
      </c>
      <c r="C61" s="154"/>
      <c r="D61" s="230" t="e">
        <f>C61/$G$53</f>
        <v>#DIV/0!</v>
      </c>
      <c r="E61" s="351"/>
      <c r="F61" s="230" t="e">
        <f>E61/$G$53</f>
        <v>#DIV/0!</v>
      </c>
      <c r="G61" s="321">
        <f t="shared" ref="G61:G63" si="5">C61*G$59</f>
        <v>0</v>
      </c>
      <c r="H61" s="321">
        <f t="shared" ref="H61:H63" si="6">IF(H23="Oui / Yes",0,
IF(AND(G23="Compagnie / Compagny",I23="Moins de deux ans d'activité / Less than 2 years of activity"),350,0)+
IF(AND(G23="Compagnie / Compagny",I23="Moins de / Less than 5 M$"),850,0)+
IF(AND(G23="Compagnie / Compagny",I23="5 M$ - 10 M$"),1800,0)+
IF(AND(G23="Compagnie / Compagny",I23="10 M$ - 50 M$"),1800,0)+
IF(AND(G23="Compagnie / Compagny",I23="Plus de / More than 50 M$"),4000,0)+
IF(AND(G23="Société de consultation / Consulting firm",I23="Moins de deux ans d'activité / Less than 2 years of activity"),4000,0)+
IF(AND(G23="Société de consultation / Consulting firm",I23="Moins de / Less than 5 M$"),4000,0)+
IF(AND(G23="Société de consultation / Consulting firm",I23="5 M$ - 10 M$"),4000,0)+
IF(AND(G23="Société de consultation / Consulting firm",I23="10 M$ - 50 M$"),7500,0)+
IF(AND(G23="Société de consultation / Consulting firm",I23="Plus de / More than 50 M$"),7500,0)+
IF(G23="Université / University",4000,0)+
IF(G23="CCTT",1800,0)+
IF(G23="Centre de recherche / Research Center", 4000,0)+
IF(G23="CHU / UHC",4000,0)+
IF(G23="CIUSSS",4000,0)+
IF(G23="Institut / Institute",4000,0)+
IF(G23="CISSS",1800,0)+
IF(AND(G23="Organisation caritative / Charitable organization",I23="Moins de deux ans d'activité / Less than 2 years of activity"),850,0)+
IF(AND(G23="Organisation caritative / Charitable organization",I23="Moins de / Less than 5 M$"),850,0)+
IF(AND(G23="Organisation caritative / Charitable organization",I23="5 M$ - 10 M$"),1800,0)+
IF(AND(G23="Organisation caritative / Charitable organization",I23="10 M$ - 50 M$"),1800,0)+
IF(AND(G23="Organisation caritative / Charitable organization",I23="Plus de / More than 50 M$"),1800,0)+
IF(AND(G23="Fondation",I23="Moins de deux ans d'activité / Less than 2 years of activity"),850,0)+
IF(AND(G23="Fondation",I23="Moins de / Less than 5 M$"),850,0)+
IF(AND(G23="Fondation",I23="5 M$ - 10 M$"),1800,0)+
IF(AND(G23="Fondation",I23="10 M$ - 50 M$"),1800,0)+
IF(AND(G23="Fondation",I23="Plus de / More than 50 M$"),1800,0)+
IF(G23="Groupe d'intérêt / Interest group",850,0)+
IF(G23="Fédération / Federation",850,0)+
IF(G23="Incubateur-accélérateur / Incubator-accelerator",5000,0)+
IF(G23="Société de valorisation / Technology transfer organization",5000,0)+
IF(G23="Organisme international / International Member",5000,0))</f>
        <v>0</v>
      </c>
      <c r="I61" s="327">
        <f t="shared" ref="I61:I63" si="7">C61+E61+G61+H61</f>
        <v>0</v>
      </c>
      <c r="J61" s="305"/>
      <c r="K61" s="151"/>
    </row>
    <row r="62" spans="1:12" x14ac:dyDescent="0.25">
      <c r="A62" s="305"/>
      <c r="B62" s="250" t="str">
        <f>IF(E24="","",E24)</f>
        <v/>
      </c>
      <c r="C62" s="154"/>
      <c r="D62" s="230" t="e">
        <f>C62/$G$53</f>
        <v>#DIV/0!</v>
      </c>
      <c r="E62" s="351"/>
      <c r="F62" s="230" t="e">
        <f>E62/$G$53</f>
        <v>#DIV/0!</v>
      </c>
      <c r="G62" s="321">
        <f t="shared" si="5"/>
        <v>0</v>
      </c>
      <c r="H62" s="321">
        <f t="shared" si="6"/>
        <v>0</v>
      </c>
      <c r="I62" s="327">
        <f t="shared" si="7"/>
        <v>0</v>
      </c>
      <c r="J62" s="305"/>
      <c r="K62" s="151"/>
    </row>
    <row r="63" spans="1:12" ht="15.75" thickBot="1" x14ac:dyDescent="0.3">
      <c r="A63" s="305"/>
      <c r="B63" s="250" t="str">
        <f>IF(E25="","",E25)</f>
        <v/>
      </c>
      <c r="C63" s="155"/>
      <c r="D63" s="230" t="e">
        <f>C63/$G$53</f>
        <v>#DIV/0!</v>
      </c>
      <c r="E63" s="352"/>
      <c r="F63" s="230" t="e">
        <f>E63/$G$53</f>
        <v>#DIV/0!</v>
      </c>
      <c r="G63" s="321">
        <f t="shared" si="5"/>
        <v>0</v>
      </c>
      <c r="H63" s="321">
        <f t="shared" si="6"/>
        <v>0</v>
      </c>
      <c r="I63" s="327">
        <f t="shared" si="7"/>
        <v>0</v>
      </c>
      <c r="J63" s="305"/>
      <c r="K63" s="151"/>
    </row>
    <row r="64" spans="1:12" ht="16.5" thickTop="1" thickBot="1" x14ac:dyDescent="0.3">
      <c r="A64" s="305"/>
      <c r="B64" s="251" t="str">
        <f>IF(C20="FRA",FRA!B64,ENG!B64)</f>
        <v>Validation ou écart</v>
      </c>
      <c r="C64" s="156" t="e">
        <f>ROUND(C59,0)-ROUND(SUM(C60:C63),0)</f>
        <v>#DIV/0!</v>
      </c>
      <c r="D64" s="350" t="e">
        <f>ROUND(D59,2)-ROUND(SUM(D60:D63),2)</f>
        <v>#DIV/0!</v>
      </c>
      <c r="E64" s="156">
        <f t="shared" ref="E64" si="8">ROUND(E59,0)-ROUND(SUM(E60:E63),0)</f>
        <v>0</v>
      </c>
      <c r="F64" s="350" t="e">
        <f>ROUND(F59,2)-ROUND(SUM(F60:F63),2)</f>
        <v>#DIV/0!</v>
      </c>
      <c r="G64" s="268"/>
      <c r="H64" s="268"/>
      <c r="I64" s="328"/>
      <c r="J64" s="305"/>
      <c r="K64" s="151"/>
    </row>
    <row r="65" spans="1:11" ht="15.75" thickBot="1" x14ac:dyDescent="0.3">
      <c r="A65" s="305"/>
      <c r="B65" s="263"/>
      <c r="C65" s="534" t="e">
        <f>IF(C20="FRA",FRA!C65,ENG!C65)</f>
        <v>#DIV/0!</v>
      </c>
      <c r="D65" s="535"/>
      <c r="E65" s="535"/>
      <c r="F65" s="536"/>
      <c r="G65" s="269"/>
      <c r="H65" s="269"/>
      <c r="I65" s="329"/>
      <c r="J65" s="305"/>
      <c r="K65" s="151"/>
    </row>
    <row r="66" spans="1:11" x14ac:dyDescent="0.25">
      <c r="A66" s="305"/>
      <c r="B66" s="264"/>
      <c r="C66" s="267"/>
      <c r="D66" s="267"/>
      <c r="E66" s="267"/>
      <c r="F66" s="267"/>
      <c r="G66" s="270"/>
      <c r="H66" s="270"/>
      <c r="I66" s="330"/>
      <c r="J66" s="323"/>
      <c r="K66" s="151"/>
    </row>
    <row r="67" spans="1:11" ht="15" customHeight="1" x14ac:dyDescent="0.25">
      <c r="A67" s="305"/>
      <c r="B67" s="265"/>
      <c r="C67" s="485" t="str">
        <f>IF(C20="FRA",FRA!C67,ENG!C67)</f>
        <v>Séparation du coût total admissible du projet</v>
      </c>
      <c r="D67" s="485"/>
      <c r="E67" s="485"/>
      <c r="F67" s="485"/>
      <c r="G67" s="271"/>
      <c r="H67" s="272"/>
      <c r="I67" s="328"/>
      <c r="J67" s="323"/>
      <c r="K67" s="151"/>
    </row>
    <row r="68" spans="1:11" ht="24.6" customHeight="1" x14ac:dyDescent="0.25">
      <c r="A68" s="305"/>
      <c r="B68" s="265"/>
      <c r="C68" s="479" t="str">
        <f>IF(C20="FRA",FRA!C68,ENG!C68)</f>
        <v>En espèce (FG inclus)</v>
      </c>
      <c r="D68" s="480"/>
      <c r="E68" s="479" t="str">
        <f>IF(C20="FRA",FRA!E68,ENG!E68)</f>
        <v>En nature</v>
      </c>
      <c r="F68" s="480"/>
      <c r="G68" s="211" t="str">
        <f>IF(C20="FRA",FRA!G68,ENG!G68)</f>
        <v>Frais indirects de recherche (FIR)</v>
      </c>
      <c r="H68" s="470" t="str">
        <f>IF(C20="FRA",FRA!I68,ENG!I68)</f>
        <v>TOTAL</v>
      </c>
      <c r="I68" s="548"/>
      <c r="J68" s="323"/>
      <c r="K68" s="151"/>
    </row>
    <row r="69" spans="1:11" x14ac:dyDescent="0.25">
      <c r="A69" s="305"/>
      <c r="B69" s="266"/>
      <c r="C69" s="224" t="s">
        <v>103</v>
      </c>
      <c r="D69" s="224" t="str">
        <f>IF(TRL="2-3",IF(TransMedTech="Sans TransMedTech",'TRL1-3'!D52,'iTMT TRL1-3'!D52),IF(TransMedTech="Sans TransMedTech",'TRL4-6'!D54,'iTMT TRL4-6'!D53))</f>
        <v>%</v>
      </c>
      <c r="E69" s="224" t="str">
        <f>IF(TRL="2-3",IF(TransMedTech="Sans TransMedTech",'TRL1-3'!E52,'iTMT TRL1-3'!E52),IF(TransMedTech="Sans TransMedTech",'TRL4-6'!E54,'iTMT TRL4-6'!E53))</f>
        <v>$$$</v>
      </c>
      <c r="F69" s="224" t="str">
        <f>IF(TRL="2-3",IF(TransMedTech="Sans TransMedTech",'TRL1-3'!F52,'iTMT TRL1-3'!F52),IF(TransMedTech="Sans TransMedTech",'TRL4-6'!F54,'iTMT TRL4-6'!F53))</f>
        <v>%</v>
      </c>
      <c r="G69" s="333">
        <f>LOOKUP(Etablissement,Feuil1!D42:D64,Feuil1!E42:E64)</f>
        <v>0.27</v>
      </c>
      <c r="H69" s="504"/>
      <c r="I69" s="549"/>
      <c r="J69" s="323"/>
      <c r="K69" s="151"/>
    </row>
    <row r="70" spans="1:11" x14ac:dyDescent="0.25">
      <c r="A70" s="305"/>
      <c r="B70" s="252" t="str">
        <f>IF(C20="FRA",FRA!B70,ENG!B70)</f>
        <v>Oncopole</v>
      </c>
      <c r="C70" s="225" t="e">
        <f>IF(TRL="2-3",IF(TransMedTech="Sans / Without TransMedTech",'TRL1-3'!C16,'iTMT TRL1-3'!C16),IF(TransMedTech="Sans / Without TransMedTech",'TRL4-6'!C17,'iTMT TRL4-6'!C17))</f>
        <v>#DIV/0!</v>
      </c>
      <c r="D70" s="226" t="e">
        <f>C70/G53</f>
        <v>#DIV/0!</v>
      </c>
      <c r="E70" s="227" t="s">
        <v>92</v>
      </c>
      <c r="F70" s="228" t="s">
        <v>92</v>
      </c>
      <c r="G70" s="228" t="s">
        <v>92</v>
      </c>
      <c r="H70" s="542" t="e">
        <f>SUM(C70,E70,G70)</f>
        <v>#DIV/0!</v>
      </c>
      <c r="I70" s="543"/>
      <c r="J70" s="323"/>
      <c r="K70" s="151"/>
    </row>
    <row r="71" spans="1:11" x14ac:dyDescent="0.25">
      <c r="A71" s="305"/>
      <c r="B71" s="252" t="str">
        <f>IF(C20="FRA",FRA!B71,ENG!B71)</f>
        <v>SRC</v>
      </c>
      <c r="C71" s="225" t="e">
        <f>IF(TRL="2-3",IF(TransMedTech="Sans / Without TransMedTech",'TRL1-3'!C17,'iTMT TRL1-3'!C17),IF(TransMedTech="Sans / Without TransMedTech",'TRL4-6'!C18,'iTMT TRL4-6'!C18))</f>
        <v>#DIV/0!</v>
      </c>
      <c r="D71" s="226" t="e">
        <f>C71/G53</f>
        <v>#DIV/0!</v>
      </c>
      <c r="E71" s="227" t="s">
        <v>92</v>
      </c>
      <c r="F71" s="228" t="s">
        <v>92</v>
      </c>
      <c r="G71" s="228" t="s">
        <v>92</v>
      </c>
      <c r="H71" s="542" t="e">
        <f>SUM(C71,E71,G71)</f>
        <v>#DIV/0!</v>
      </c>
      <c r="I71" s="543"/>
      <c r="J71" s="323"/>
      <c r="K71" s="151"/>
    </row>
    <row r="72" spans="1:11" x14ac:dyDescent="0.25">
      <c r="A72" s="305"/>
      <c r="B72" s="252" t="str">
        <f>IF(C20="FRA",FRA!B72,ENG!B72)</f>
        <v>MEDTEQ</v>
      </c>
      <c r="C72" s="225">
        <f>IF(TRL="2-3",IF(TransMedTech="Sans / Without TransMedTech",'TRL1-3'!C15,'iTMT TRL1-3'!C15),IF(TransMedTech="Sans / Without TransMedTech",'TRL4-6'!C16,'iTMT TRL4-6'!C16))</f>
        <v>0</v>
      </c>
      <c r="D72" s="226" t="e">
        <f>C72/G53</f>
        <v>#DIV/0!</v>
      </c>
      <c r="E72" s="227" t="s">
        <v>92</v>
      </c>
      <c r="F72" s="228" t="s">
        <v>92</v>
      </c>
      <c r="G72" s="319" t="e">
        <f>SUM(G30,G31,G34,G35,G39)*D72*G69</f>
        <v>#DIV/0!</v>
      </c>
      <c r="H72" s="542" t="e">
        <f>SUM(C72,E72,G72)</f>
        <v>#DIV/0!</v>
      </c>
      <c r="I72" s="543"/>
      <c r="J72" s="323"/>
      <c r="K72" s="151"/>
    </row>
    <row r="73" spans="1:11" x14ac:dyDescent="0.25">
      <c r="A73" s="305"/>
      <c r="B73" s="252" t="str">
        <f>IF(TransMedTech="Sans / Without TransMedTech","","Institut TransMedTech")</f>
        <v>Institut TransMedTech</v>
      </c>
      <c r="C73" s="225">
        <f>IF(TRL="2-3",IF(TransMedTech="Sans / Without TransMedTech","",'iTMT TRL1-3'!C18),IF(TransMedTech="Sans / Without TransMedTech","",'iTMT TRL4-6'!C19))</f>
        <v>0</v>
      </c>
      <c r="D73" s="226" t="e">
        <f>IF(TransMedTech="Sans / Without TransMedTech","",C73/G53)</f>
        <v>#DIV/0!</v>
      </c>
      <c r="E73" s="227" t="str">
        <f>IF(TransMedTech="Sans / Without TransMedTech","","N/A")</f>
        <v>N/A</v>
      </c>
      <c r="F73" s="235" t="str">
        <f>IF(TransMedTech="Sans / Without TransMedTech","","N/A")</f>
        <v>N/A</v>
      </c>
      <c r="G73" s="228" t="str">
        <f>IF(TransMedTech="Sans / Without TransMedTech","","N/A")</f>
        <v>N/A</v>
      </c>
      <c r="H73" s="544">
        <f>IF(TransMedTech="Sans / Without TransMedTech","",SUM(C73,E73,G73))</f>
        <v>0</v>
      </c>
      <c r="I73" s="545"/>
      <c r="J73" s="323"/>
      <c r="K73" s="151"/>
    </row>
    <row r="74" spans="1:11" ht="15.75" thickBot="1" x14ac:dyDescent="0.3">
      <c r="A74" s="305"/>
      <c r="B74" s="253" t="str">
        <f>IF(C20="FRA",FRA!B74,ENG!B74)</f>
        <v>Total demandé aux partenaires du concours</v>
      </c>
      <c r="C74" s="254" t="e">
        <f>SUM(C70:C73)</f>
        <v>#DIV/0!</v>
      </c>
      <c r="D74" s="255" t="e">
        <f>SUM(D70:D73)</f>
        <v>#DIV/0!</v>
      </c>
      <c r="E74" s="256">
        <f>SUM(E70:E72)</f>
        <v>0</v>
      </c>
      <c r="F74" s="257">
        <v>0</v>
      </c>
      <c r="G74" s="320" t="e">
        <f>SUM(G70:G73)</f>
        <v>#DIV/0!</v>
      </c>
      <c r="H74" s="546" t="e">
        <f>SUM(H70:I73)</f>
        <v>#DIV/0!</v>
      </c>
      <c r="I74" s="547"/>
      <c r="J74" s="323"/>
      <c r="K74" s="151"/>
    </row>
    <row r="75" spans="1:11" x14ac:dyDescent="0.25">
      <c r="A75" s="305"/>
      <c r="B75" s="305"/>
      <c r="C75" s="305"/>
      <c r="D75" s="305"/>
      <c r="E75" s="305"/>
      <c r="F75" s="305"/>
      <c r="G75" s="305"/>
      <c r="H75" s="305"/>
      <c r="I75" s="305"/>
      <c r="J75" s="305"/>
      <c r="K75" s="151"/>
    </row>
    <row r="76" spans="1:11" ht="15.75" thickBot="1" x14ac:dyDescent="0.3">
      <c r="A76" s="305"/>
      <c r="B76" s="305"/>
      <c r="C76" s="305"/>
      <c r="D76" s="305"/>
      <c r="E76" s="305"/>
      <c r="F76" s="305"/>
      <c r="G76" s="305"/>
      <c r="H76" s="305"/>
      <c r="I76" s="305"/>
      <c r="J76" s="305"/>
    </row>
    <row r="77" spans="1:11" ht="14.45" customHeight="1" x14ac:dyDescent="0.25">
      <c r="A77" s="305"/>
      <c r="B77" s="491" t="str">
        <f>IF(C20="FRA",FRA!B77,ENG!B77)</f>
        <v>5.SOMMAIRE</v>
      </c>
      <c r="C77" s="492"/>
      <c r="D77" s="492"/>
      <c r="E77" s="492"/>
      <c r="F77" s="492"/>
      <c r="G77" s="492"/>
      <c r="H77" s="493"/>
      <c r="I77" s="305"/>
      <c r="J77" s="305"/>
    </row>
    <row r="78" spans="1:11" ht="15" customHeight="1" thickBot="1" x14ac:dyDescent="0.3">
      <c r="A78" s="305"/>
      <c r="B78" s="494"/>
      <c r="C78" s="495"/>
      <c r="D78" s="495"/>
      <c r="E78" s="495"/>
      <c r="F78" s="495"/>
      <c r="G78" s="495"/>
      <c r="H78" s="496"/>
      <c r="I78" s="305"/>
      <c r="J78" s="305"/>
    </row>
    <row r="79" spans="1:11" ht="15.75" thickBot="1" x14ac:dyDescent="0.3">
      <c r="A79" s="305"/>
      <c r="B79" s="305"/>
      <c r="C79" s="305"/>
      <c r="D79" s="305"/>
      <c r="E79" s="305"/>
      <c r="F79" s="305"/>
      <c r="G79" s="305"/>
      <c r="H79" s="305"/>
      <c r="I79" s="305"/>
      <c r="J79" s="305"/>
    </row>
    <row r="80" spans="1:11" ht="16.5" thickBot="1" x14ac:dyDescent="0.3">
      <c r="A80" s="305"/>
      <c r="B80" s="537" t="str">
        <f>IF(C20="FRA",FRA!B80,ENG!B80)</f>
        <v>Informations sur le projet</v>
      </c>
      <c r="C80" s="538"/>
      <c r="D80" s="538"/>
      <c r="E80" s="538"/>
      <c r="F80" s="538"/>
      <c r="G80" s="538"/>
      <c r="H80" s="539"/>
      <c r="I80" s="305"/>
      <c r="J80" s="305"/>
    </row>
    <row r="81" spans="1:10" x14ac:dyDescent="0.25">
      <c r="A81" s="305"/>
      <c r="B81" s="286" t="str">
        <f>IF(C20="FRA",FRA!B81,ENG!B81)</f>
        <v>Chercheur Principal (1)</v>
      </c>
      <c r="C81" s="500">
        <f>C24</f>
        <v>0</v>
      </c>
      <c r="D81" s="501"/>
      <c r="E81" s="149"/>
      <c r="F81" s="149"/>
      <c r="G81" s="149"/>
      <c r="H81" s="150"/>
      <c r="I81" s="305"/>
      <c r="J81" s="305"/>
    </row>
    <row r="82" spans="1:10" x14ac:dyDescent="0.25">
      <c r="A82" s="305"/>
      <c r="B82" s="285" t="str">
        <f>IF(C20="FRA",FRA!B82,ENG!B82)</f>
        <v>Co-Chercheur Principal (2)</v>
      </c>
      <c r="C82" s="502" t="str">
        <f>IF(C25="","",C25)</f>
        <v/>
      </c>
      <c r="D82" s="503"/>
      <c r="E82" s="149"/>
      <c r="F82" s="149"/>
      <c r="G82" s="149"/>
      <c r="H82" s="150"/>
      <c r="I82" s="305"/>
      <c r="J82" s="305"/>
    </row>
    <row r="83" spans="1:10" x14ac:dyDescent="0.25">
      <c r="A83" s="305"/>
      <c r="B83" s="285" t="str">
        <f>IF(C20="FRA",FRA!B83,ENG!B83)</f>
        <v>Institution affiliée au chercheur principal (1)</v>
      </c>
      <c r="C83" s="502" t="str">
        <f>Etablissement</f>
        <v>Sélectionnez / Select</v>
      </c>
      <c r="D83" s="503"/>
      <c r="E83" s="149"/>
      <c r="F83" s="149"/>
      <c r="G83" s="149"/>
      <c r="H83" s="150"/>
      <c r="I83" s="305"/>
      <c r="J83" s="305"/>
    </row>
    <row r="84" spans="1:10" x14ac:dyDescent="0.25">
      <c r="A84" s="305"/>
      <c r="B84" s="285" t="str">
        <f>IF(C20="FRA",FRA!B85,ENG!B85)</f>
        <v>NMT (TRL)</v>
      </c>
      <c r="C84" s="502" t="str">
        <f>IF(TRL="Sélectionnez","",TRL)</f>
        <v>Sélectionnez / Select</v>
      </c>
      <c r="D84" s="503"/>
      <c r="E84" s="149"/>
      <c r="F84" s="149"/>
      <c r="G84" s="149"/>
      <c r="H84" s="150"/>
      <c r="I84" s="305"/>
      <c r="J84" s="305"/>
    </row>
    <row r="85" spans="1:10" ht="15.75" thickBot="1" x14ac:dyDescent="0.3">
      <c r="A85" s="305"/>
      <c r="B85" s="284" t="str">
        <f>IF(C20="FRA",FRA!B86,ENG!B86)</f>
        <v>Coût total admissible du projet (incluant FG, et Contribution en nature industrielle si NMT 4-5)</v>
      </c>
      <c r="C85" s="516">
        <f>G53</f>
        <v>0</v>
      </c>
      <c r="D85" s="517"/>
      <c r="E85" s="149"/>
      <c r="F85" s="149"/>
      <c r="G85" s="149"/>
      <c r="H85" s="150"/>
      <c r="I85" s="305"/>
      <c r="J85" s="305"/>
    </row>
    <row r="86" spans="1:10" x14ac:dyDescent="0.25">
      <c r="A86" s="305"/>
      <c r="B86" s="518" t="str">
        <f>IF(C20="FRA",FRA!B87,ENG!B87)</f>
        <v>Partenaires non publics (privés, industriels, OBNL, fondations)</v>
      </c>
      <c r="C86" s="521" t="str">
        <f>"- "&amp;B60</f>
        <v xml:space="preserve">- </v>
      </c>
      <c r="D86" s="522"/>
      <c r="E86" s="149"/>
      <c r="F86" s="149"/>
      <c r="G86" s="149"/>
      <c r="H86" s="150"/>
      <c r="I86" s="305"/>
      <c r="J86" s="305"/>
    </row>
    <row r="87" spans="1:10" x14ac:dyDescent="0.25">
      <c r="A87" s="305"/>
      <c r="B87" s="519"/>
      <c r="C87" s="523" t="str">
        <f>"- "&amp;B61</f>
        <v xml:space="preserve">- </v>
      </c>
      <c r="D87" s="524"/>
      <c r="E87" s="149"/>
      <c r="F87" s="149"/>
      <c r="G87" s="149"/>
      <c r="H87" s="150"/>
      <c r="I87" s="305"/>
      <c r="J87" s="305"/>
    </row>
    <row r="88" spans="1:10" x14ac:dyDescent="0.25">
      <c r="A88" s="305"/>
      <c r="B88" s="519"/>
      <c r="C88" s="523" t="str">
        <f>"- "&amp;B62</f>
        <v xml:space="preserve">- </v>
      </c>
      <c r="D88" s="524"/>
      <c r="E88" s="149"/>
      <c r="F88" s="149"/>
      <c r="G88" s="149"/>
      <c r="H88" s="150"/>
      <c r="I88" s="305"/>
      <c r="J88" s="305"/>
    </row>
    <row r="89" spans="1:10" ht="15.75" thickBot="1" x14ac:dyDescent="0.3">
      <c r="A89" s="305"/>
      <c r="B89" s="520"/>
      <c r="C89" s="525" t="str">
        <f>"- "&amp;B63</f>
        <v xml:space="preserve">- </v>
      </c>
      <c r="D89" s="526"/>
      <c r="E89" s="149"/>
      <c r="F89" s="149"/>
      <c r="G89" s="149"/>
      <c r="H89" s="150"/>
      <c r="I89" s="305"/>
      <c r="J89" s="305"/>
    </row>
    <row r="90" spans="1:10" ht="16.5" thickBot="1" x14ac:dyDescent="0.3">
      <c r="A90" s="305"/>
      <c r="B90" s="537" t="str">
        <f>IF(C20="FRA",FRA!B91,ENG!B91)</f>
        <v>Répartition du financement</v>
      </c>
      <c r="C90" s="538"/>
      <c r="D90" s="538"/>
      <c r="E90" s="538"/>
      <c r="F90" s="538"/>
      <c r="G90" s="538"/>
      <c r="H90" s="539"/>
      <c r="I90" s="305"/>
      <c r="J90" s="305"/>
    </row>
    <row r="91" spans="1:10" x14ac:dyDescent="0.25">
      <c r="A91" s="305"/>
      <c r="B91" s="245" t="str">
        <f>IF(C20="FRA",FRA!B92,ENG!B92)</f>
        <v>Partenaires financiers du projet</v>
      </c>
      <c r="C91" s="243" t="str">
        <f>IF(C20="FRA",FRA!C92,ENG!C92)</f>
        <v>Montant</v>
      </c>
      <c r="D91" s="247" t="s">
        <v>104</v>
      </c>
      <c r="E91" s="147"/>
      <c r="F91" s="147"/>
      <c r="G91" s="147"/>
      <c r="H91" s="148"/>
      <c r="I91" s="305"/>
      <c r="J91" s="305"/>
    </row>
    <row r="92" spans="1:10" x14ac:dyDescent="0.25">
      <c r="A92" s="305"/>
      <c r="B92" s="287" t="str">
        <f>IF(C20="FRA",FRA!B93,ENG!B93)</f>
        <v>Industriels</v>
      </c>
      <c r="C92" s="288" t="e">
        <f>C59+E59</f>
        <v>#DIV/0!</v>
      </c>
      <c r="D92" s="297" t="e">
        <f>D59+F59</f>
        <v>#DIV/0!</v>
      </c>
      <c r="E92" s="157"/>
      <c r="F92" s="157"/>
      <c r="G92" s="157"/>
      <c r="H92" s="158"/>
      <c r="I92" s="305"/>
      <c r="J92" s="305"/>
    </row>
    <row r="93" spans="1:10" x14ac:dyDescent="0.25">
      <c r="A93" s="305"/>
      <c r="B93" s="289" t="str">
        <f>IF(C20="FRA",FRA!B94,ENG!B94)</f>
        <v>Oncopole</v>
      </c>
      <c r="C93" s="290" t="e">
        <f t="shared" ref="C93:D96" si="9">C70</f>
        <v>#DIV/0!</v>
      </c>
      <c r="D93" s="298" t="e">
        <f t="shared" si="9"/>
        <v>#DIV/0!</v>
      </c>
      <c r="E93" s="149"/>
      <c r="F93" s="149"/>
      <c r="G93" s="149"/>
      <c r="H93" s="150"/>
      <c r="I93" s="305"/>
      <c r="J93" s="305"/>
    </row>
    <row r="94" spans="1:10" x14ac:dyDescent="0.25">
      <c r="A94" s="305"/>
      <c r="B94" s="289" t="str">
        <f>IF(C20="FRA",FRA!B95,ENG!B95)</f>
        <v>SRC</v>
      </c>
      <c r="C94" s="290" t="e">
        <f t="shared" si="9"/>
        <v>#DIV/0!</v>
      </c>
      <c r="D94" s="298" t="e">
        <f t="shared" si="9"/>
        <v>#DIV/0!</v>
      </c>
      <c r="E94" s="149"/>
      <c r="F94" s="149"/>
      <c r="G94" s="149"/>
      <c r="H94" s="150"/>
      <c r="I94" s="305"/>
      <c r="J94" s="305"/>
    </row>
    <row r="95" spans="1:10" x14ac:dyDescent="0.25">
      <c r="A95" s="305"/>
      <c r="B95" s="289" t="str">
        <f>IF(C20="FRA",FRA!B96,ENG!B96)</f>
        <v>MEDTEQ</v>
      </c>
      <c r="C95" s="290">
        <f t="shared" si="9"/>
        <v>0</v>
      </c>
      <c r="D95" s="298" t="e">
        <f t="shared" si="9"/>
        <v>#DIV/0!</v>
      </c>
      <c r="E95" s="149"/>
      <c r="F95" s="149"/>
      <c r="G95" s="149"/>
      <c r="H95" s="150"/>
      <c r="I95" s="305"/>
      <c r="J95" s="305"/>
    </row>
    <row r="96" spans="1:10" ht="15.75" thickBot="1" x14ac:dyDescent="0.3">
      <c r="A96" s="305"/>
      <c r="B96" s="299" t="str">
        <f>IF(C20="FRA",FRA!B97,ENG!B97)</f>
        <v>Institut TransMedTech</v>
      </c>
      <c r="C96" s="300">
        <f t="shared" si="9"/>
        <v>0</v>
      </c>
      <c r="D96" s="301" t="e">
        <f t="shared" si="9"/>
        <v>#DIV/0!</v>
      </c>
      <c r="E96" s="149"/>
      <c r="F96" s="149"/>
      <c r="G96" s="149"/>
      <c r="H96" s="150"/>
      <c r="I96" s="305"/>
      <c r="J96" s="305"/>
    </row>
    <row r="97" spans="1:10" ht="15.75" thickBot="1" x14ac:dyDescent="0.3">
      <c r="A97" s="305"/>
      <c r="B97" s="357" t="s">
        <v>153</v>
      </c>
      <c r="C97" s="358" t="e">
        <f>SUM(C92:C96)</f>
        <v>#DIV/0!</v>
      </c>
      <c r="D97" s="359" t="e">
        <f>SUM(D92:D96)</f>
        <v>#DIV/0!</v>
      </c>
      <c r="E97" s="149"/>
      <c r="F97" s="149"/>
      <c r="G97" s="149"/>
      <c r="H97" s="150"/>
      <c r="I97" s="305"/>
      <c r="J97" s="305"/>
    </row>
    <row r="98" spans="1:10" ht="16.5" thickBot="1" x14ac:dyDescent="0.3">
      <c r="A98" s="305"/>
      <c r="B98" s="537" t="str">
        <f>IF(C20="FRA",FRA!B98,ENG!B98)</f>
        <v>Détail de la contribution industrielle</v>
      </c>
      <c r="C98" s="538"/>
      <c r="D98" s="538"/>
      <c r="E98" s="538"/>
      <c r="F98" s="538"/>
      <c r="G98" s="538"/>
      <c r="H98" s="539"/>
      <c r="I98" s="305"/>
      <c r="J98" s="305"/>
    </row>
    <row r="99" spans="1:10" x14ac:dyDescent="0.25">
      <c r="A99" s="305"/>
      <c r="B99" s="245" t="str">
        <f>IF(C20="FRA",FRA!B99,ENG!B99)</f>
        <v>Industriels</v>
      </c>
      <c r="C99" s="242" t="str">
        <f>IF(C20="FRA",FRA!C99,ENG!C99)</f>
        <v>Montant au projet</v>
      </c>
      <c r="D99" s="242" t="str">
        <f>IF(C20="FRA",FRA!D99,ENG!D99)</f>
        <v>FG</v>
      </c>
      <c r="E99" s="242" t="str">
        <f>IF(C20="FRA",FRA!E99,ENG!E99)</f>
        <v>FIR</v>
      </c>
      <c r="F99" s="513" t="str">
        <f>IF(C20="FRA",FRA!F99,ENG!F99)</f>
        <v>Frais d'adhésion</v>
      </c>
      <c r="G99" s="514"/>
      <c r="H99" s="248" t="str">
        <f>IF(C20="FRA",FRA!H99,ENG!H99)</f>
        <v>Total</v>
      </c>
      <c r="I99" s="305"/>
      <c r="J99" s="305"/>
    </row>
    <row r="100" spans="1:10" x14ac:dyDescent="0.25">
      <c r="A100" s="305"/>
      <c r="B100" s="291" t="str">
        <f>B60</f>
        <v/>
      </c>
      <c r="C100" s="290" t="e">
        <f>C60+E60-D100</f>
        <v>#DIV/0!</v>
      </c>
      <c r="D100" s="288" t="e">
        <f>$G47*(FIR_Ind/D59)</f>
        <v>#DIV/0!</v>
      </c>
      <c r="E100" s="290">
        <f>G60</f>
        <v>0</v>
      </c>
      <c r="F100" s="515">
        <f>H60</f>
        <v>0</v>
      </c>
      <c r="G100" s="515"/>
      <c r="H100" s="292" t="e">
        <f>SUM(C100:G100)</f>
        <v>#DIV/0!</v>
      </c>
      <c r="I100" s="305"/>
      <c r="J100" s="305"/>
    </row>
    <row r="101" spans="1:10" x14ac:dyDescent="0.25">
      <c r="A101" s="305"/>
      <c r="B101" s="291" t="str">
        <f>B61</f>
        <v/>
      </c>
      <c r="C101" s="290" t="e">
        <f>C61+E61-D101</f>
        <v>#DIV/0!</v>
      </c>
      <c r="D101" s="288" t="e">
        <f>G47*D61/D59</f>
        <v>#DIV/0!</v>
      </c>
      <c r="E101" s="290">
        <f>G61</f>
        <v>0</v>
      </c>
      <c r="F101" s="515">
        <f>H61</f>
        <v>0</v>
      </c>
      <c r="G101" s="515"/>
      <c r="H101" s="292" t="e">
        <f t="shared" ref="H101:H103" si="10">SUM(C101:G101)</f>
        <v>#DIV/0!</v>
      </c>
      <c r="I101" s="305"/>
      <c r="J101" s="305"/>
    </row>
    <row r="102" spans="1:10" x14ac:dyDescent="0.25">
      <c r="A102" s="305"/>
      <c r="B102" s="291" t="str">
        <f>B62</f>
        <v/>
      </c>
      <c r="C102" s="290" t="e">
        <f>C62+E62-D102</f>
        <v>#DIV/0!</v>
      </c>
      <c r="D102" s="288" t="e">
        <f>$G47*(D62/D59)</f>
        <v>#DIV/0!</v>
      </c>
      <c r="E102" s="290">
        <f t="shared" ref="E102:E103" si="11">G62</f>
        <v>0</v>
      </c>
      <c r="F102" s="515">
        <f>H62</f>
        <v>0</v>
      </c>
      <c r="G102" s="515"/>
      <c r="H102" s="292" t="e">
        <f t="shared" si="10"/>
        <v>#DIV/0!</v>
      </c>
      <c r="I102" s="305"/>
      <c r="J102" s="305"/>
    </row>
    <row r="103" spans="1:10" ht="15.75" thickBot="1" x14ac:dyDescent="0.3">
      <c r="A103" s="305"/>
      <c r="B103" s="293" t="str">
        <f>B63</f>
        <v/>
      </c>
      <c r="C103" s="295" t="e">
        <f>C63+E63-D103</f>
        <v>#DIV/0!</v>
      </c>
      <c r="D103" s="294" t="e">
        <f>$G47*(D63/D59)</f>
        <v>#DIV/0!</v>
      </c>
      <c r="E103" s="295">
        <f t="shared" si="11"/>
        <v>0</v>
      </c>
      <c r="F103" s="512">
        <f>H63</f>
        <v>0</v>
      </c>
      <c r="G103" s="512"/>
      <c r="H103" s="296" t="e">
        <f t="shared" si="10"/>
        <v>#DIV/0!</v>
      </c>
      <c r="I103" s="305"/>
      <c r="J103" s="305"/>
    </row>
    <row r="104" spans="1:10" x14ac:dyDescent="0.25">
      <c r="A104" s="305"/>
      <c r="B104" s="305"/>
      <c r="C104" s="305"/>
      <c r="D104" s="305"/>
      <c r="E104" s="305"/>
      <c r="F104" s="305"/>
      <c r="G104" s="305"/>
      <c r="H104" s="305"/>
      <c r="I104" s="305"/>
      <c r="J104" s="305"/>
    </row>
    <row r="105" spans="1:10" x14ac:dyDescent="0.25">
      <c r="A105" s="305"/>
      <c r="B105" s="305" t="s">
        <v>328</v>
      </c>
      <c r="C105" s="305"/>
      <c r="D105" s="305"/>
      <c r="E105" s="305"/>
      <c r="F105" s="305"/>
      <c r="G105" s="305"/>
      <c r="H105" s="305"/>
      <c r="I105" s="305"/>
      <c r="J105" s="305"/>
    </row>
    <row r="106" spans="1:10" x14ac:dyDescent="0.25">
      <c r="A106" s="305"/>
      <c r="B106" s="305" t="s">
        <v>329</v>
      </c>
      <c r="C106" s="305"/>
      <c r="D106" s="305"/>
      <c r="E106" s="305"/>
      <c r="F106" s="305"/>
      <c r="G106" s="305"/>
      <c r="H106" s="305"/>
      <c r="I106" s="305"/>
      <c r="J106" s="305"/>
    </row>
    <row r="107" spans="1:10" x14ac:dyDescent="0.25">
      <c r="A107" s="305"/>
      <c r="B107" s="305" t="s">
        <v>330</v>
      </c>
      <c r="C107" s="305"/>
      <c r="D107" s="305"/>
      <c r="E107" s="305"/>
      <c r="F107" s="305"/>
      <c r="G107" s="305"/>
      <c r="H107" s="305"/>
      <c r="I107" s="305"/>
      <c r="J107" s="305"/>
    </row>
    <row r="108" spans="1:10" x14ac:dyDescent="0.25">
      <c r="A108" s="305"/>
      <c r="B108" s="305" t="s">
        <v>331</v>
      </c>
      <c r="C108" s="305"/>
      <c r="D108" s="305"/>
      <c r="E108" s="305"/>
      <c r="F108" s="305"/>
      <c r="G108" s="305"/>
      <c r="H108" s="305"/>
      <c r="I108" s="305"/>
      <c r="J108" s="305"/>
    </row>
    <row r="109" spans="1:10" x14ac:dyDescent="0.25">
      <c r="A109" s="305"/>
      <c r="C109" s="305"/>
      <c r="D109" s="305"/>
      <c r="E109" s="305"/>
      <c r="F109" s="305"/>
      <c r="G109" s="305"/>
      <c r="H109" s="305"/>
      <c r="I109" s="305"/>
      <c r="J109" s="305"/>
    </row>
    <row r="110" spans="1:10" x14ac:dyDescent="0.25">
      <c r="A110" s="305"/>
      <c r="B110" s="305" t="s">
        <v>327</v>
      </c>
      <c r="C110" s="305"/>
      <c r="D110" s="305"/>
      <c r="E110" s="305"/>
      <c r="F110" s="305"/>
      <c r="G110" s="305"/>
      <c r="H110" s="305"/>
      <c r="I110" s="305"/>
      <c r="J110" s="305"/>
    </row>
    <row r="111" spans="1:10" x14ac:dyDescent="0.25">
      <c r="A111" s="305"/>
      <c r="B111" s="305" t="s">
        <v>333</v>
      </c>
      <c r="C111" s="305"/>
      <c r="D111" s="305"/>
      <c r="E111" s="305"/>
      <c r="F111" s="305"/>
      <c r="G111" s="305"/>
      <c r="H111" s="305"/>
      <c r="I111" s="305"/>
      <c r="J111" s="305"/>
    </row>
    <row r="112" spans="1:10" x14ac:dyDescent="0.25">
      <c r="A112" s="305"/>
      <c r="B112" s="305" t="s">
        <v>370</v>
      </c>
      <c r="C112" s="305"/>
      <c r="D112" s="305"/>
      <c r="E112" s="305"/>
      <c r="F112" s="305"/>
      <c r="G112" s="305"/>
      <c r="H112" s="305"/>
      <c r="I112" s="305"/>
      <c r="J112" s="305"/>
    </row>
    <row r="113" spans="1:10" x14ac:dyDescent="0.25">
      <c r="A113" s="305"/>
      <c r="C113" s="305"/>
      <c r="D113" s="305"/>
      <c r="E113" s="305"/>
      <c r="F113" s="305"/>
      <c r="G113" s="305"/>
      <c r="H113" s="305"/>
      <c r="I113" s="305"/>
      <c r="J113" s="305"/>
    </row>
    <row r="114" spans="1:10" x14ac:dyDescent="0.25">
      <c r="A114" s="305"/>
      <c r="B114" s="305"/>
      <c r="C114" s="305"/>
      <c r="D114" s="305"/>
      <c r="E114" s="305"/>
      <c r="F114" s="305"/>
      <c r="G114" s="305"/>
      <c r="H114" s="305"/>
      <c r="I114" s="305"/>
      <c r="J114" s="305"/>
    </row>
    <row r="115" spans="1:10" x14ac:dyDescent="0.25">
      <c r="A115" s="305"/>
      <c r="B115" s="305"/>
      <c r="C115" s="305"/>
      <c r="D115" s="305"/>
      <c r="E115" s="305"/>
      <c r="F115" s="305"/>
      <c r="G115" s="305"/>
      <c r="H115" s="305"/>
      <c r="I115" s="305"/>
      <c r="J115" s="305"/>
    </row>
    <row r="116" spans="1:10" x14ac:dyDescent="0.25">
      <c r="A116" s="305"/>
      <c r="B116" s="305"/>
      <c r="C116" s="305"/>
      <c r="D116" s="305"/>
      <c r="E116" s="305"/>
      <c r="F116" s="305"/>
      <c r="G116" s="305"/>
      <c r="H116" s="305"/>
      <c r="I116" s="305"/>
      <c r="J116" s="305"/>
    </row>
    <row r="117" spans="1:10" x14ac:dyDescent="0.25">
      <c r="A117" s="305"/>
      <c r="B117" s="305"/>
      <c r="C117" s="305"/>
      <c r="D117" s="305"/>
      <c r="E117" s="305"/>
      <c r="F117" s="305"/>
      <c r="G117" s="305"/>
      <c r="H117" s="305"/>
      <c r="I117" s="305"/>
      <c r="J117" s="305"/>
    </row>
    <row r="118" spans="1:10" x14ac:dyDescent="0.25">
      <c r="A118" s="305"/>
      <c r="B118" s="305"/>
      <c r="C118" s="305"/>
      <c r="D118" s="305"/>
      <c r="E118" s="305"/>
      <c r="F118" s="305"/>
      <c r="G118" s="305"/>
      <c r="H118" s="305"/>
      <c r="I118" s="305"/>
      <c r="J118" s="305"/>
    </row>
    <row r="119" spans="1:10" x14ac:dyDescent="0.25">
      <c r="A119" s="305"/>
      <c r="B119" s="305"/>
      <c r="C119" s="305"/>
      <c r="D119" s="305"/>
      <c r="E119" s="305"/>
      <c r="F119" s="305"/>
      <c r="G119" s="305"/>
      <c r="H119" s="305"/>
      <c r="I119" s="305"/>
      <c r="J119" s="305"/>
    </row>
    <row r="120" spans="1:10" x14ac:dyDescent="0.25">
      <c r="A120" s="305"/>
      <c r="B120" s="305"/>
      <c r="C120" s="305"/>
      <c r="D120" s="305"/>
      <c r="E120" s="305"/>
      <c r="F120" s="305"/>
      <c r="G120" s="305"/>
      <c r="H120" s="305"/>
      <c r="I120" s="305"/>
      <c r="J120" s="305"/>
    </row>
    <row r="121" spans="1:10" x14ac:dyDescent="0.25">
      <c r="A121" s="305"/>
      <c r="B121" s="305"/>
      <c r="C121" s="305"/>
      <c r="D121" s="305"/>
      <c r="E121" s="305"/>
      <c r="F121" s="305"/>
      <c r="G121" s="305"/>
      <c r="H121" s="305"/>
      <c r="I121" s="305"/>
      <c r="J121" s="305"/>
    </row>
    <row r="122" spans="1:10" x14ac:dyDescent="0.25">
      <c r="A122" s="305"/>
      <c r="B122" s="305"/>
      <c r="C122" s="305"/>
      <c r="D122" s="305"/>
      <c r="E122" s="305"/>
      <c r="F122" s="305"/>
      <c r="G122" s="305"/>
      <c r="H122" s="305"/>
      <c r="I122" s="305"/>
      <c r="J122" s="305"/>
    </row>
    <row r="123" spans="1:10" x14ac:dyDescent="0.25">
      <c r="A123" s="305"/>
      <c r="B123" s="305"/>
      <c r="C123" s="305"/>
      <c r="D123" s="305"/>
      <c r="E123" s="305"/>
      <c r="F123" s="305"/>
      <c r="G123" s="305"/>
      <c r="H123" s="305"/>
      <c r="I123" s="305"/>
      <c r="J123" s="305"/>
    </row>
    <row r="124" spans="1:10" x14ac:dyDescent="0.25">
      <c r="A124" s="305"/>
      <c r="B124" s="305"/>
      <c r="C124" s="305"/>
      <c r="D124" s="305"/>
      <c r="E124" s="305"/>
      <c r="F124" s="305"/>
      <c r="G124" s="305"/>
      <c r="H124" s="305"/>
      <c r="I124" s="305"/>
      <c r="J124" s="305"/>
    </row>
    <row r="125" spans="1:10" x14ac:dyDescent="0.25">
      <c r="A125" s="305"/>
      <c r="B125" s="305"/>
      <c r="C125" s="305"/>
      <c r="D125" s="305"/>
      <c r="E125" s="305"/>
      <c r="F125" s="305"/>
      <c r="G125" s="305"/>
      <c r="H125" s="305"/>
      <c r="I125" s="305"/>
      <c r="J125" s="305"/>
    </row>
    <row r="126" spans="1:10" x14ac:dyDescent="0.25">
      <c r="A126" s="305"/>
      <c r="B126" s="305"/>
      <c r="C126" s="305"/>
      <c r="D126" s="305"/>
      <c r="E126" s="305"/>
      <c r="F126" s="305"/>
      <c r="G126" s="305"/>
      <c r="H126" s="305"/>
      <c r="I126" s="305"/>
      <c r="J126" s="305"/>
    </row>
    <row r="127" spans="1:10" x14ac:dyDescent="0.25">
      <c r="A127" s="305"/>
      <c r="B127" s="305"/>
      <c r="C127" s="305"/>
      <c r="D127" s="305"/>
      <c r="E127" s="305"/>
      <c r="F127" s="305"/>
      <c r="G127" s="305"/>
      <c r="H127" s="305"/>
      <c r="I127" s="305"/>
      <c r="J127" s="305"/>
    </row>
    <row r="128" spans="1:10" x14ac:dyDescent="0.25">
      <c r="A128" s="305"/>
      <c r="B128" s="305"/>
      <c r="C128" s="305"/>
      <c r="D128" s="305"/>
      <c r="E128" s="305"/>
      <c r="F128" s="305"/>
      <c r="G128" s="305"/>
      <c r="H128" s="305"/>
      <c r="I128" s="305"/>
      <c r="J128" s="305"/>
    </row>
  </sheetData>
  <sheetProtection algorithmName="SHA-512" hashValue="17Nlg/q6irbsyTvvivxDLTfXh0QxmN1wilJeSY7arR7jx81ii2ZKdKhS7TcBCWQbSdN2zAyTNWNEk+MSAmB0PQ==" saltValue="VLgD2fCLXwNo62nfrG5a8A==" spinCount="100000" sheet="1" formatCells="0" formatColumns="0" formatRows="0"/>
  <protectedRanges>
    <protectedRange sqref="C20:C25" name="Info projet"/>
    <protectedRange sqref="E22:I25" name="Info industriels"/>
    <protectedRange sqref="C30:F32 C34:F36 C38:F40 C42:F42 G51" name="Budget de recherche"/>
    <protectedRange sqref="C60:C63 E60:E63" name="Coût des industriels"/>
  </protectedRanges>
  <mergeCells count="94">
    <mergeCell ref="E33:F33"/>
    <mergeCell ref="E25:F25"/>
    <mergeCell ref="C34:D34"/>
    <mergeCell ref="E34:F34"/>
    <mergeCell ref="C35:D35"/>
    <mergeCell ref="E35:F35"/>
    <mergeCell ref="C28:D28"/>
    <mergeCell ref="E28:F28"/>
    <mergeCell ref="C29:D29"/>
    <mergeCell ref="E29:F29"/>
    <mergeCell ref="B27:G27"/>
    <mergeCell ref="C32:D32"/>
    <mergeCell ref="E32:F32"/>
    <mergeCell ref="C33:D33"/>
    <mergeCell ref="B16:I16"/>
    <mergeCell ref="C30:D30"/>
    <mergeCell ref="E30:F30"/>
    <mergeCell ref="C31:D31"/>
    <mergeCell ref="E31:F31"/>
    <mergeCell ref="B19:C19"/>
    <mergeCell ref="E20:I20"/>
    <mergeCell ref="E21:F21"/>
    <mergeCell ref="E22:F22"/>
    <mergeCell ref="E23:F23"/>
    <mergeCell ref="E24:F24"/>
    <mergeCell ref="B17:I17"/>
    <mergeCell ref="B13:I13"/>
    <mergeCell ref="B11:I11"/>
    <mergeCell ref="B12:I12"/>
    <mergeCell ref="B14:I14"/>
    <mergeCell ref="B15:I15"/>
    <mergeCell ref="F103:G103"/>
    <mergeCell ref="C84:D84"/>
    <mergeCell ref="C83:D83"/>
    <mergeCell ref="C85:D85"/>
    <mergeCell ref="C86:D86"/>
    <mergeCell ref="C87:D87"/>
    <mergeCell ref="C88:D88"/>
    <mergeCell ref="C89:D89"/>
    <mergeCell ref="B98:H98"/>
    <mergeCell ref="B90:H90"/>
    <mergeCell ref="F99:G99"/>
    <mergeCell ref="F100:G100"/>
    <mergeCell ref="F101:G101"/>
    <mergeCell ref="F102:G102"/>
    <mergeCell ref="B86:B89"/>
    <mergeCell ref="C81:D81"/>
    <mergeCell ref="C82:D82"/>
    <mergeCell ref="C67:F67"/>
    <mergeCell ref="C68:D68"/>
    <mergeCell ref="E68:F68"/>
    <mergeCell ref="B80:H80"/>
    <mergeCell ref="B77:H78"/>
    <mergeCell ref="H72:I72"/>
    <mergeCell ref="H73:I73"/>
    <mergeCell ref="H74:I74"/>
    <mergeCell ref="H71:I71"/>
    <mergeCell ref="H68:I68"/>
    <mergeCell ref="H69:I69"/>
    <mergeCell ref="H70:I70"/>
    <mergeCell ref="C39:D39"/>
    <mergeCell ref="E39:F39"/>
    <mergeCell ref="C40:D40"/>
    <mergeCell ref="E40:F40"/>
    <mergeCell ref="C43:D43"/>
    <mergeCell ref="E43:F43"/>
    <mergeCell ref="C36:D36"/>
    <mergeCell ref="E36:F36"/>
    <mergeCell ref="C37:D37"/>
    <mergeCell ref="E37:F37"/>
    <mergeCell ref="C38:D38"/>
    <mergeCell ref="E38:F38"/>
    <mergeCell ref="E49:F49"/>
    <mergeCell ref="C65:F65"/>
    <mergeCell ref="C52:D52"/>
    <mergeCell ref="B56:B57"/>
    <mergeCell ref="C56:F56"/>
    <mergeCell ref="C57:D57"/>
    <mergeCell ref="G56:G57"/>
    <mergeCell ref="B55:I55"/>
    <mergeCell ref="C41:D41"/>
    <mergeCell ref="E41:F41"/>
    <mergeCell ref="E42:F42"/>
    <mergeCell ref="E57:F57"/>
    <mergeCell ref="C47:D47"/>
    <mergeCell ref="E47:F47"/>
    <mergeCell ref="C45:D45"/>
    <mergeCell ref="E45:F45"/>
    <mergeCell ref="C46:D46"/>
    <mergeCell ref="E46:F46"/>
    <mergeCell ref="H56:H58"/>
    <mergeCell ref="I56:I57"/>
    <mergeCell ref="C42:D42"/>
    <mergeCell ref="C49:D49"/>
  </mergeCells>
  <conditionalFormatting sqref="C39:C40 E39:E40">
    <cfRule type="containsBlanks" dxfId="28" priority="58">
      <formula>LEN(TRIM(C39))=0</formula>
    </cfRule>
  </conditionalFormatting>
  <conditionalFormatting sqref="C30:C32 E31">
    <cfRule type="containsBlanks" dxfId="27" priority="57">
      <formula>LEN(TRIM(C30))=0</formula>
    </cfRule>
  </conditionalFormatting>
  <conditionalFormatting sqref="E30">
    <cfRule type="containsBlanks" dxfId="26" priority="56">
      <formula>LEN(TRIM(E30))=0</formula>
    </cfRule>
  </conditionalFormatting>
  <conditionalFormatting sqref="E32">
    <cfRule type="containsBlanks" dxfId="25" priority="55">
      <formula>LEN(TRIM(E32))=0</formula>
    </cfRule>
  </conditionalFormatting>
  <conditionalFormatting sqref="C34:C36 E34:E36">
    <cfRule type="containsBlanks" dxfId="24" priority="54">
      <formula>LEN(TRIM(C34))=0</formula>
    </cfRule>
  </conditionalFormatting>
  <conditionalFormatting sqref="C38 E38">
    <cfRule type="containsBlanks" dxfId="23" priority="53">
      <formula>LEN(TRIM(C38))=0</formula>
    </cfRule>
  </conditionalFormatting>
  <conditionalFormatting sqref="E42">
    <cfRule type="containsBlanks" dxfId="22" priority="52">
      <formula>LEN(TRIM(E42))=0</formula>
    </cfRule>
  </conditionalFormatting>
  <conditionalFormatting sqref="C42">
    <cfRule type="containsBlanks" dxfId="21" priority="51">
      <formula>LEN(TRIM(C42))=0</formula>
    </cfRule>
  </conditionalFormatting>
  <conditionalFormatting sqref="C25 C20:C23">
    <cfRule type="cellIs" dxfId="20" priority="43" operator="equal">
      <formula>"Sélectionnez"</formula>
    </cfRule>
  </conditionalFormatting>
  <conditionalFormatting sqref="B65">
    <cfRule type="expression" dxfId="19" priority="38">
      <formula>$D$38=Mitacs</formula>
    </cfRule>
  </conditionalFormatting>
  <conditionalFormatting sqref="C65">
    <cfRule type="cellIs" dxfId="18" priority="13" operator="equal">
      <formula>"OK"</formula>
    </cfRule>
  </conditionalFormatting>
  <conditionalFormatting sqref="C20:C25">
    <cfRule type="cellIs" dxfId="17" priority="19" operator="equal">
      <formula>"Sélectionnez / Select"</formula>
    </cfRule>
  </conditionalFormatting>
  <conditionalFormatting sqref="C64:F64">
    <cfRule type="cellIs" dxfId="16" priority="16" operator="lessThan">
      <formula>0</formula>
    </cfRule>
    <cfRule type="cellIs" dxfId="15" priority="17" operator="greaterThan">
      <formula>0</formula>
    </cfRule>
    <cfRule type="cellIs" dxfId="14" priority="18" operator="equal">
      <formula>0</formula>
    </cfRule>
  </conditionalFormatting>
  <conditionalFormatting sqref="C24:C25">
    <cfRule type="cellIs" dxfId="13" priority="3" operator="equal">
      <formula>""</formula>
    </cfRule>
    <cfRule type="cellIs" dxfId="12" priority="9" operator="equal">
      <formula>"Entrer le nom"</formula>
    </cfRule>
  </conditionalFormatting>
  <conditionalFormatting sqref="C65:F65">
    <cfRule type="cellIs" dxfId="11" priority="8" operator="notEqual">
      <formula>"OK"</formula>
    </cfRule>
  </conditionalFormatting>
  <conditionalFormatting sqref="C24">
    <cfRule type="cellIs" dxfId="10" priority="4" operator="equal">
      <formula>"Sélectionnez"</formula>
    </cfRule>
  </conditionalFormatting>
  <conditionalFormatting sqref="B73:H73">
    <cfRule type="cellIs" dxfId="9" priority="2" operator="equal">
      <formula>""</formula>
    </cfRule>
  </conditionalFormatting>
  <conditionalFormatting sqref="G22:I25">
    <cfRule type="cellIs" dxfId="8" priority="1" operator="equal">
      <formula>"Sélectionnez / Select"</formula>
    </cfRule>
  </conditionalFormatting>
  <conditionalFormatting sqref="G51">
    <cfRule type="cellIs" dxfId="7" priority="66" operator="lessThanOrEqual">
      <formula>IF($C$21="2-3",0,0.25*$G$49)</formula>
    </cfRule>
    <cfRule type="cellIs" dxfId="6" priority="67" operator="greaterThan">
      <formula>IF($C$21="2-3",0,$G$49*0.25)</formula>
    </cfRule>
  </conditionalFormatting>
  <dataValidations count="2">
    <dataValidation type="whole" allowBlank="1" showInputMessage="1" showErrorMessage="1" error="Les montants doivent être des nombres entiers" sqref="C29:G43">
      <formula1>0</formula1>
      <formula2>99999999999</formula2>
    </dataValidation>
    <dataValidation type="list" allowBlank="1" showInputMessage="1" showErrorMessage="1" sqref="C20">
      <formula1>"FRA,ENG"</formula1>
    </dataValidation>
  </dataValidations>
  <pageMargins left="0.7" right="0.7" top="0.75" bottom="0.75" header="0.3" footer="0.3"/>
  <pageSetup scale="36" fitToHeight="0" orientation="portrait" verticalDpi="1200"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Feuil1!$G$31:$G$33</xm:f>
          </x14:formula1>
          <xm:sqref>C21</xm:sqref>
        </x14:dataValidation>
        <x14:dataValidation type="list" allowBlank="1" showInputMessage="1" showErrorMessage="1">
          <x14:formula1>
            <xm:f>Feuil1!$H$31:$H$33</xm:f>
          </x14:formula1>
          <xm:sqref>C22</xm:sqref>
        </x14:dataValidation>
        <x14:dataValidation type="list" allowBlank="1" showInputMessage="1" showErrorMessage="1">
          <x14:formula1>
            <xm:f>Feuil1!$J$31:$J$33</xm:f>
          </x14:formula1>
          <xm:sqref>H22:H25</xm:sqref>
        </x14:dataValidation>
        <x14:dataValidation type="list" allowBlank="1" showInputMessage="1" showErrorMessage="1">
          <x14:formula1>
            <xm:f>Feuil1!$K$31:$K$36</xm:f>
          </x14:formula1>
          <xm:sqref>I22:I25</xm:sqref>
        </x14:dataValidation>
        <x14:dataValidation type="list" allowBlank="1" showInputMessage="1" showErrorMessage="1">
          <x14:formula1>
            <xm:f>Feuil1!$D$68:$D$84</xm:f>
          </x14:formula1>
          <xm:sqref>G22:G25</xm:sqref>
        </x14:dataValidation>
        <x14:dataValidation type="list" allowBlank="1" showInputMessage="1" showErrorMessage="1">
          <x14:formula1>
            <xm:f>Feuil1!$D$42:$D$64</xm:f>
          </x14:formula1>
          <xm:sqref>C23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54"/>
  <sheetViews>
    <sheetView workbookViewId="0">
      <selection activeCell="Q19" sqref="Q19"/>
    </sheetView>
  </sheetViews>
  <sheetFormatPr baseColWidth="10" defaultColWidth="9.140625" defaultRowHeight="15" x14ac:dyDescent="0.25"/>
  <cols>
    <col min="2" max="2" width="34.5703125" customWidth="1"/>
    <col min="3" max="6" width="16.7109375" customWidth="1"/>
    <col min="8" max="8" width="14.85546875" customWidth="1"/>
  </cols>
  <sheetData>
    <row r="1" spans="2:8" ht="15.75" thickBot="1" x14ac:dyDescent="0.3"/>
    <row r="2" spans="2:8" ht="16.5" thickBot="1" x14ac:dyDescent="0.3">
      <c r="B2" s="428" t="s">
        <v>90</v>
      </c>
      <c r="C2" s="429"/>
      <c r="D2" s="429"/>
      <c r="E2" s="429"/>
      <c r="F2" s="429"/>
      <c r="G2" s="429"/>
      <c r="H2" s="430"/>
    </row>
    <row r="3" spans="2:8" ht="15.75" thickBot="1" x14ac:dyDescent="0.3">
      <c r="B3" s="210" t="str">
        <f>'Budget de projet'!B28</f>
        <v>ANNÉE</v>
      </c>
      <c r="C3" s="431">
        <v>1</v>
      </c>
      <c r="D3" s="432"/>
      <c r="E3" s="431">
        <v>2</v>
      </c>
      <c r="F3" s="432"/>
      <c r="G3" s="431" t="s">
        <v>59</v>
      </c>
      <c r="H3" s="433"/>
    </row>
    <row r="4" spans="2:8" x14ac:dyDescent="0.25">
      <c r="B4" s="183" t="s">
        <v>70</v>
      </c>
      <c r="C4" s="434">
        <f>SUM(C5:C7)</f>
        <v>0</v>
      </c>
      <c r="D4" s="435"/>
      <c r="E4" s="434">
        <f>SUM(E5:E7)</f>
        <v>0</v>
      </c>
      <c r="F4" s="435"/>
      <c r="G4" s="436">
        <f>SUM(C4:F4)</f>
        <v>0</v>
      </c>
      <c r="H4" s="437"/>
    </row>
    <row r="5" spans="2:8" x14ac:dyDescent="0.25">
      <c r="B5" s="188" t="s">
        <v>71</v>
      </c>
      <c r="C5" s="554">
        <f>'Budget de projet'!C30:D30</f>
        <v>0</v>
      </c>
      <c r="D5" s="555"/>
      <c r="E5" s="554">
        <f>'Budget de projet'!E30:F30</f>
        <v>0</v>
      </c>
      <c r="F5" s="555"/>
      <c r="G5" s="426">
        <f>SUM(C5:F5)</f>
        <v>0</v>
      </c>
      <c r="H5" s="427"/>
    </row>
    <row r="6" spans="2:8" x14ac:dyDescent="0.25">
      <c r="B6" s="188" t="s">
        <v>72</v>
      </c>
      <c r="C6" s="554">
        <f>'Budget de projet'!C31:D31</f>
        <v>0</v>
      </c>
      <c r="D6" s="555"/>
      <c r="E6" s="554">
        <f>'Budget de projet'!E31:F31</f>
        <v>0</v>
      </c>
      <c r="F6" s="555"/>
      <c r="G6" s="426">
        <f t="shared" ref="G6:G17" si="0">SUM(C6:F6)</f>
        <v>0</v>
      </c>
      <c r="H6" s="427"/>
    </row>
    <row r="7" spans="2:8" x14ac:dyDescent="0.25">
      <c r="B7" s="189" t="s">
        <v>73</v>
      </c>
      <c r="C7" s="554">
        <f>'Budget de projet'!C32:D32</f>
        <v>0</v>
      </c>
      <c r="D7" s="555"/>
      <c r="E7" s="554">
        <f>'Budget de projet'!E32:F32</f>
        <v>0</v>
      </c>
      <c r="F7" s="555"/>
      <c r="G7" s="426">
        <f t="shared" si="0"/>
        <v>0</v>
      </c>
      <c r="H7" s="427"/>
    </row>
    <row r="8" spans="2:8" x14ac:dyDescent="0.25">
      <c r="B8" s="184" t="s">
        <v>74</v>
      </c>
      <c r="C8" s="438">
        <f>SUM(C9:C11)</f>
        <v>0</v>
      </c>
      <c r="D8" s="439"/>
      <c r="E8" s="438">
        <f>SUM(E9:E11)</f>
        <v>0</v>
      </c>
      <c r="F8" s="439"/>
      <c r="G8" s="440">
        <f t="shared" si="0"/>
        <v>0</v>
      </c>
      <c r="H8" s="441"/>
    </row>
    <row r="9" spans="2:8" x14ac:dyDescent="0.25">
      <c r="B9" s="190" t="s">
        <v>75</v>
      </c>
      <c r="C9" s="554">
        <f>'Budget de projet'!C34:D34</f>
        <v>0</v>
      </c>
      <c r="D9" s="555"/>
      <c r="E9" s="554">
        <f>'Budget de projet'!E34:F34</f>
        <v>0</v>
      </c>
      <c r="F9" s="555"/>
      <c r="G9" s="426">
        <f t="shared" si="0"/>
        <v>0</v>
      </c>
      <c r="H9" s="427"/>
    </row>
    <row r="10" spans="2:8" x14ac:dyDescent="0.25">
      <c r="B10" s="190" t="s">
        <v>76</v>
      </c>
      <c r="C10" s="554">
        <f>'Budget de projet'!C35:D35</f>
        <v>0</v>
      </c>
      <c r="D10" s="555"/>
      <c r="E10" s="554">
        <f>'Budget de projet'!E35:F35</f>
        <v>0</v>
      </c>
      <c r="F10" s="555"/>
      <c r="G10" s="426">
        <f t="shared" si="0"/>
        <v>0</v>
      </c>
      <c r="H10" s="427"/>
    </row>
    <row r="11" spans="2:8" x14ac:dyDescent="0.25">
      <c r="B11" s="191" t="s">
        <v>77</v>
      </c>
      <c r="C11" s="554">
        <f>'Budget de projet'!C36:D36</f>
        <v>0</v>
      </c>
      <c r="D11" s="555"/>
      <c r="E11" s="554">
        <f>'Budget de projet'!E36:F36</f>
        <v>0</v>
      </c>
      <c r="F11" s="555"/>
      <c r="G11" s="426">
        <f t="shared" si="0"/>
        <v>0</v>
      </c>
      <c r="H11" s="427"/>
    </row>
    <row r="12" spans="2:8" x14ac:dyDescent="0.25">
      <c r="B12" s="185" t="s">
        <v>78</v>
      </c>
      <c r="C12" s="438">
        <f>SUM(C13:C15)</f>
        <v>0</v>
      </c>
      <c r="D12" s="439"/>
      <c r="E12" s="438">
        <f>SUM(E13:E15)</f>
        <v>0</v>
      </c>
      <c r="F12" s="439"/>
      <c r="G12" s="440">
        <f t="shared" si="0"/>
        <v>0</v>
      </c>
      <c r="H12" s="441"/>
    </row>
    <row r="13" spans="2:8" x14ac:dyDescent="0.25">
      <c r="B13" s="190" t="s">
        <v>79</v>
      </c>
      <c r="C13" s="554">
        <f>'Budget de projet'!C38:D38</f>
        <v>0</v>
      </c>
      <c r="D13" s="555"/>
      <c r="E13" s="554">
        <f>'Budget de projet'!E38:F38</f>
        <v>0</v>
      </c>
      <c r="F13" s="555"/>
      <c r="G13" s="426">
        <f t="shared" si="0"/>
        <v>0</v>
      </c>
      <c r="H13" s="427"/>
    </row>
    <row r="14" spans="2:8" x14ac:dyDescent="0.25">
      <c r="B14" s="190" t="s">
        <v>80</v>
      </c>
      <c r="C14" s="554">
        <f>'Budget de projet'!C39:D39</f>
        <v>0</v>
      </c>
      <c r="D14" s="555"/>
      <c r="E14" s="554">
        <f>'Budget de projet'!E39:F39</f>
        <v>0</v>
      </c>
      <c r="F14" s="555"/>
      <c r="G14" s="426">
        <f t="shared" si="0"/>
        <v>0</v>
      </c>
      <c r="H14" s="427"/>
    </row>
    <row r="15" spans="2:8" x14ac:dyDescent="0.25">
      <c r="B15" s="190" t="s">
        <v>81</v>
      </c>
      <c r="C15" s="554">
        <f>'Budget de projet'!C40:D40</f>
        <v>0</v>
      </c>
      <c r="D15" s="555"/>
      <c r="E15" s="554">
        <f>'Budget de projet'!E40:F40</f>
        <v>0</v>
      </c>
      <c r="F15" s="555"/>
      <c r="G15" s="426">
        <f t="shared" si="0"/>
        <v>0</v>
      </c>
      <c r="H15" s="427"/>
    </row>
    <row r="16" spans="2:8" x14ac:dyDescent="0.25">
      <c r="B16" s="185" t="s">
        <v>82</v>
      </c>
      <c r="C16" s="438">
        <f>C17</f>
        <v>0</v>
      </c>
      <c r="D16" s="439"/>
      <c r="E16" s="438">
        <f>E17</f>
        <v>0</v>
      </c>
      <c r="F16" s="439"/>
      <c r="G16" s="440">
        <f t="shared" si="0"/>
        <v>0</v>
      </c>
      <c r="H16" s="441"/>
    </row>
    <row r="17" spans="2:8" ht="15.75" thickBot="1" x14ac:dyDescent="0.3">
      <c r="B17" s="192" t="s">
        <v>83</v>
      </c>
      <c r="C17" s="556">
        <f>'Budget de projet'!C42:D42</f>
        <v>0</v>
      </c>
      <c r="D17" s="557"/>
      <c r="E17" s="556">
        <f>'Budget de projet'!E42:F42</f>
        <v>0</v>
      </c>
      <c r="F17" s="557"/>
      <c r="G17" s="444">
        <f t="shared" si="0"/>
        <v>0</v>
      </c>
      <c r="H17" s="445"/>
    </row>
    <row r="18" spans="2:8" ht="15.75" thickTop="1" x14ac:dyDescent="0.25">
      <c r="B18" s="186" t="s">
        <v>84</v>
      </c>
      <c r="C18" s="446">
        <f>C4+C8+C12+C16</f>
        <v>0</v>
      </c>
      <c r="D18" s="447"/>
      <c r="E18" s="446">
        <f>E4+E8+E12+E16</f>
        <v>0</v>
      </c>
      <c r="F18" s="447"/>
      <c r="G18" s="448">
        <f>G4+G8+G12+G16</f>
        <v>0</v>
      </c>
      <c r="H18" s="449"/>
    </row>
    <row r="19" spans="2:8" x14ac:dyDescent="0.25">
      <c r="B19" s="195"/>
      <c r="C19" s="196"/>
      <c r="D19" s="196"/>
      <c r="E19" s="196"/>
      <c r="F19" s="196"/>
      <c r="G19" s="196"/>
      <c r="H19" s="197"/>
    </row>
    <row r="20" spans="2:8" x14ac:dyDescent="0.25">
      <c r="B20" s="193" t="s">
        <v>85</v>
      </c>
      <c r="C20" s="456">
        <f>SUM(C21:D22)</f>
        <v>0</v>
      </c>
      <c r="D20" s="457"/>
      <c r="E20" s="456">
        <f t="shared" ref="E20" si="1">SUM(E21:F22)</f>
        <v>0</v>
      </c>
      <c r="F20" s="457"/>
      <c r="G20" s="458">
        <f>SUM(G21:H22)</f>
        <v>0</v>
      </c>
      <c r="H20" s="459"/>
    </row>
    <row r="21" spans="2:8" x14ac:dyDescent="0.25">
      <c r="B21" s="190" t="s">
        <v>86</v>
      </c>
      <c r="C21" s="456">
        <f>0.02*C18</f>
        <v>0</v>
      </c>
      <c r="D21" s="457"/>
      <c r="E21" s="456">
        <f t="shared" ref="E21" si="2">0.02*E18</f>
        <v>0</v>
      </c>
      <c r="F21" s="457"/>
      <c r="G21" s="460">
        <f>SUM(C21:F21)</f>
        <v>0</v>
      </c>
      <c r="H21" s="461"/>
    </row>
    <row r="22" spans="2:8" x14ac:dyDescent="0.25">
      <c r="B22" s="194" t="s">
        <v>87</v>
      </c>
      <c r="C22" s="450">
        <f>0.03*C18</f>
        <v>0</v>
      </c>
      <c r="D22" s="451"/>
      <c r="E22" s="450">
        <f t="shared" ref="E22" si="3">0.03*E18</f>
        <v>0</v>
      </c>
      <c r="F22" s="451"/>
      <c r="G22" s="452">
        <f>SUM(C22:F22)</f>
        <v>0</v>
      </c>
      <c r="H22" s="453"/>
    </row>
    <row r="23" spans="2:8" ht="15.75" thickBot="1" x14ac:dyDescent="0.3">
      <c r="B23" s="198"/>
      <c r="C23" s="199"/>
      <c r="D23" s="199"/>
      <c r="E23" s="199"/>
      <c r="F23" s="199"/>
      <c r="G23" s="199"/>
      <c r="H23" s="200"/>
    </row>
    <row r="24" spans="2:8" ht="15.75" thickTop="1" x14ac:dyDescent="0.25">
      <c r="B24" s="187" t="s">
        <v>88</v>
      </c>
      <c r="C24" s="446">
        <f>C18+C20</f>
        <v>0</v>
      </c>
      <c r="D24" s="447"/>
      <c r="E24" s="446">
        <f>E18+E20</f>
        <v>0</v>
      </c>
      <c r="F24" s="447"/>
      <c r="G24" s="454">
        <f>G18+G20</f>
        <v>0</v>
      </c>
      <c r="H24" s="455"/>
    </row>
    <row r="25" spans="2:8" x14ac:dyDescent="0.25">
      <c r="B25" s="195"/>
      <c r="C25" s="196"/>
      <c r="D25" s="196"/>
      <c r="E25" s="196"/>
      <c r="F25" s="196"/>
      <c r="G25" s="196"/>
      <c r="H25" s="197"/>
    </row>
    <row r="26" spans="2:8" x14ac:dyDescent="0.25">
      <c r="B26" s="208" t="str">
        <f>"Montant en nature pris en compte (max : "&amp;IF(TRL="2-3","0% du coût total admissible du projet = ","20 % du coût total admissible du projet = ")&amp;IF(TRL="2-3",0,G24*25%)&amp;" $)"</f>
        <v>Montant en nature pris en compte (max : 20 % du coût total admissible du projet = 0 $)</v>
      </c>
      <c r="C26" s="209"/>
      <c r="D26" s="209"/>
      <c r="E26" s="209"/>
      <c r="F26" s="209"/>
      <c r="G26" s="462">
        <f>'Budget de projet'!G51</f>
        <v>0</v>
      </c>
      <c r="H26" s="463"/>
    </row>
    <row r="27" spans="2:8" ht="15.75" thickBot="1" x14ac:dyDescent="0.3">
      <c r="B27" s="201"/>
      <c r="C27" s="464"/>
      <c r="D27" s="464"/>
      <c r="E27" s="202"/>
      <c r="F27" s="202"/>
      <c r="G27" s="203"/>
      <c r="H27" s="204"/>
    </row>
    <row r="28" spans="2:8" ht="16.5" thickTop="1" thickBot="1" x14ac:dyDescent="0.3">
      <c r="B28" s="205" t="s">
        <v>89</v>
      </c>
      <c r="C28" s="206"/>
      <c r="D28" s="206"/>
      <c r="E28" s="207"/>
      <c r="F28" s="207"/>
      <c r="G28" s="465">
        <f>G24+G26</f>
        <v>0</v>
      </c>
      <c r="H28" s="466"/>
    </row>
    <row r="29" spans="2:8" ht="15.75" thickBot="1" x14ac:dyDescent="0.3"/>
    <row r="30" spans="2:8" ht="16.5" thickBot="1" x14ac:dyDescent="0.3">
      <c r="B30" s="428" t="s">
        <v>145</v>
      </c>
      <c r="C30" s="429"/>
      <c r="D30" s="429"/>
      <c r="E30" s="429"/>
      <c r="F30" s="429"/>
      <c r="G30" s="429"/>
      <c r="H30" s="430"/>
    </row>
    <row r="31" spans="2:8" ht="16.5" thickBot="1" x14ac:dyDescent="0.3">
      <c r="B31" s="558" t="s">
        <v>147</v>
      </c>
      <c r="C31" s="558"/>
      <c r="D31" s="558"/>
      <c r="E31" s="558"/>
      <c r="F31" s="558"/>
      <c r="G31" s="558"/>
      <c r="H31" s="558"/>
    </row>
    <row r="32" spans="2:8" x14ac:dyDescent="0.25">
      <c r="B32" s="559" t="s">
        <v>209</v>
      </c>
      <c r="C32" s="560"/>
      <c r="D32" s="561">
        <f>'Budget de projet'!C81</f>
        <v>0</v>
      </c>
      <c r="E32" s="561"/>
      <c r="F32" s="149"/>
      <c r="G32" s="149"/>
      <c r="H32" s="150"/>
    </row>
    <row r="33" spans="2:8" x14ac:dyDescent="0.25">
      <c r="B33" s="567" t="s">
        <v>210</v>
      </c>
      <c r="C33" s="568"/>
      <c r="D33" s="573" t="str">
        <f>'Budget de projet'!C82</f>
        <v/>
      </c>
      <c r="E33" s="573"/>
      <c r="F33" s="149"/>
      <c r="G33" s="149"/>
      <c r="H33" s="150"/>
    </row>
    <row r="34" spans="2:8" x14ac:dyDescent="0.25">
      <c r="B34" s="567" t="s">
        <v>211</v>
      </c>
      <c r="C34" s="568"/>
      <c r="D34" s="573" t="str">
        <f>'Budget de projet'!C83</f>
        <v>Sélectionnez / Select</v>
      </c>
      <c r="E34" s="573"/>
      <c r="F34" s="149"/>
      <c r="G34" s="149"/>
      <c r="H34" s="150"/>
    </row>
    <row r="35" spans="2:8" x14ac:dyDescent="0.25">
      <c r="B35" s="567" t="s">
        <v>196</v>
      </c>
      <c r="C35" s="568"/>
      <c r="D35" s="573" t="str">
        <f>'Budget de projet'!C84</f>
        <v>Sélectionnez / Select</v>
      </c>
      <c r="E35" s="573"/>
      <c r="F35" s="149"/>
      <c r="G35" s="149"/>
      <c r="H35" s="150"/>
    </row>
    <row r="36" spans="2:8" ht="15.75" thickBot="1" x14ac:dyDescent="0.3">
      <c r="B36" s="569" t="s">
        <v>146</v>
      </c>
      <c r="C36" s="569"/>
      <c r="D36" s="574">
        <f>'Budget de projet'!C85</f>
        <v>0</v>
      </c>
      <c r="E36" s="574"/>
      <c r="F36" s="149"/>
      <c r="G36" s="149"/>
      <c r="H36" s="150"/>
    </row>
    <row r="37" spans="2:8" x14ac:dyDescent="0.25">
      <c r="B37" s="570" t="s">
        <v>154</v>
      </c>
      <c r="C37" s="575" t="str">
        <f>'Budget de projet'!C86:D86</f>
        <v xml:space="preserve">- </v>
      </c>
      <c r="D37" s="575"/>
      <c r="E37" s="575"/>
      <c r="F37" s="149"/>
      <c r="G37" s="149"/>
      <c r="H37" s="150"/>
    </row>
    <row r="38" spans="2:8" x14ac:dyDescent="0.25">
      <c r="B38" s="571"/>
      <c r="C38" s="524" t="str">
        <f>'Budget de projet'!C87:D87</f>
        <v xml:space="preserve">- </v>
      </c>
      <c r="D38" s="524"/>
      <c r="E38" s="524"/>
      <c r="F38" s="149"/>
      <c r="G38" s="149"/>
      <c r="H38" s="150"/>
    </row>
    <row r="39" spans="2:8" x14ac:dyDescent="0.25">
      <c r="B39" s="571"/>
      <c r="C39" s="524" t="str">
        <f>'Budget de projet'!C88:D88</f>
        <v xml:space="preserve">- </v>
      </c>
      <c r="D39" s="524"/>
      <c r="E39" s="524"/>
      <c r="F39" s="149"/>
      <c r="G39" s="149"/>
      <c r="H39" s="150"/>
    </row>
    <row r="40" spans="2:8" ht="15.75" thickBot="1" x14ac:dyDescent="0.3">
      <c r="B40" s="572"/>
      <c r="C40" s="526" t="str">
        <f>'Budget de projet'!C89:D89</f>
        <v xml:space="preserve">- </v>
      </c>
      <c r="D40" s="526"/>
      <c r="E40" s="526"/>
      <c r="F40" s="149"/>
      <c r="G40" s="149"/>
      <c r="H40" s="150"/>
    </row>
    <row r="41" spans="2:8" ht="16.5" thickBot="1" x14ac:dyDescent="0.3">
      <c r="B41" s="537" t="s">
        <v>148</v>
      </c>
      <c r="C41" s="566"/>
      <c r="D41" s="566"/>
      <c r="E41" s="566"/>
      <c r="F41" s="538"/>
      <c r="G41" s="538"/>
      <c r="H41" s="539"/>
    </row>
    <row r="42" spans="2:8" x14ac:dyDescent="0.25">
      <c r="B42" s="245" t="s">
        <v>155</v>
      </c>
      <c r="C42" s="243" t="s">
        <v>149</v>
      </c>
      <c r="D42" s="247" t="s">
        <v>104</v>
      </c>
      <c r="E42" s="147"/>
      <c r="F42" s="147"/>
      <c r="G42" s="147"/>
      <c r="H42" s="148"/>
    </row>
    <row r="43" spans="2:8" x14ac:dyDescent="0.25">
      <c r="B43" s="246" t="str">
        <f>'Budget de projet'!B92</f>
        <v>Industriels</v>
      </c>
      <c r="C43" s="238" t="e">
        <f>'Budget de projet'!C92</f>
        <v>#DIV/0!</v>
      </c>
      <c r="D43" s="244" t="e">
        <f>'Budget de projet'!D92</f>
        <v>#DIV/0!</v>
      </c>
      <c r="E43" s="157"/>
      <c r="F43" s="157"/>
      <c r="G43" s="157"/>
      <c r="H43" s="158"/>
    </row>
    <row r="44" spans="2:8" x14ac:dyDescent="0.25">
      <c r="B44" s="246" t="str">
        <f>'Budget de projet'!B93</f>
        <v>Oncopole</v>
      </c>
      <c r="C44" s="238" t="e">
        <f>'Budget de projet'!C93</f>
        <v>#DIV/0!</v>
      </c>
      <c r="D44" s="244" t="e">
        <f>'Budget de projet'!D93</f>
        <v>#DIV/0!</v>
      </c>
      <c r="E44" s="149"/>
      <c r="F44" s="149"/>
      <c r="G44" s="149"/>
      <c r="H44" s="150"/>
    </row>
    <row r="45" spans="2:8" x14ac:dyDescent="0.25">
      <c r="B45" s="246" t="s">
        <v>2</v>
      </c>
      <c r="C45" s="238" t="e">
        <f>'Budget de projet'!C94</f>
        <v>#DIV/0!</v>
      </c>
      <c r="D45" s="244" t="e">
        <f>'Budget de projet'!D94</f>
        <v>#DIV/0!</v>
      </c>
      <c r="E45" s="149"/>
      <c r="F45" s="149"/>
      <c r="G45" s="149"/>
      <c r="H45" s="150"/>
    </row>
    <row r="46" spans="2:8" x14ac:dyDescent="0.25">
      <c r="B46" s="246" t="str">
        <f>'Budget de projet'!B95</f>
        <v>MEDTEQ</v>
      </c>
      <c r="C46" s="238">
        <f>'Budget de projet'!C95</f>
        <v>0</v>
      </c>
      <c r="D46" s="244" t="e">
        <f>'Budget de projet'!D95</f>
        <v>#DIV/0!</v>
      </c>
      <c r="E46" s="149"/>
      <c r="F46" s="149"/>
      <c r="G46" s="149"/>
      <c r="H46" s="150"/>
    </row>
    <row r="47" spans="2:8" ht="15.75" thickBot="1" x14ac:dyDescent="0.3">
      <c r="B47" s="353" t="str">
        <f>'Budget de projet'!B96</f>
        <v>Institut TransMedTech</v>
      </c>
      <c r="C47" s="273">
        <f>'Budget de projet'!C96</f>
        <v>0</v>
      </c>
      <c r="D47" s="274" t="e">
        <f>'Budget de projet'!D96</f>
        <v>#DIV/0!</v>
      </c>
      <c r="E47" s="149"/>
      <c r="F47" s="149"/>
      <c r="G47" s="149"/>
      <c r="H47" s="150"/>
    </row>
    <row r="48" spans="2:8" ht="15.75" thickBot="1" x14ac:dyDescent="0.3">
      <c r="B48" s="354" t="s">
        <v>153</v>
      </c>
      <c r="C48" s="355" t="e">
        <f>'Budget de projet'!C97</f>
        <v>#DIV/0!</v>
      </c>
      <c r="D48" s="356" t="e">
        <f>'Budget de projet'!D97</f>
        <v>#DIV/0!</v>
      </c>
      <c r="E48" s="149"/>
      <c r="F48" s="149"/>
      <c r="G48" s="149"/>
      <c r="H48" s="150"/>
    </row>
    <row r="49" spans="2:8" ht="16.5" thickBot="1" x14ac:dyDescent="0.3">
      <c r="B49" s="537" t="s">
        <v>191</v>
      </c>
      <c r="C49" s="538"/>
      <c r="D49" s="538"/>
      <c r="E49" s="538"/>
      <c r="F49" s="538"/>
      <c r="G49" s="538"/>
      <c r="H49" s="539"/>
    </row>
    <row r="50" spans="2:8" x14ac:dyDescent="0.25">
      <c r="B50" s="280" t="s">
        <v>110</v>
      </c>
      <c r="C50" s="242" t="s">
        <v>150</v>
      </c>
      <c r="D50" s="242" t="s">
        <v>151</v>
      </c>
      <c r="E50" s="242" t="s">
        <v>57</v>
      </c>
      <c r="F50" s="242" t="s">
        <v>152</v>
      </c>
      <c r="G50" s="576" t="s">
        <v>153</v>
      </c>
      <c r="H50" s="577"/>
    </row>
    <row r="51" spans="2:8" x14ac:dyDescent="0.25">
      <c r="B51" s="236" t="str">
        <f>'Budget de projet'!B100</f>
        <v/>
      </c>
      <c r="C51" s="239" t="e">
        <f>'Budget de projet'!C100</f>
        <v>#DIV/0!</v>
      </c>
      <c r="D51" s="238" t="e">
        <f>'Budget de projet'!D100</f>
        <v>#DIV/0!</v>
      </c>
      <c r="E51" s="239">
        <f>'Budget de projet'!E100</f>
        <v>0</v>
      </c>
      <c r="F51" s="302">
        <f>'Budget de projet'!F100:G100</f>
        <v>0</v>
      </c>
      <c r="G51" s="562" t="e">
        <f>'Budget de projet'!H100</f>
        <v>#DIV/0!</v>
      </c>
      <c r="H51" s="563"/>
    </row>
    <row r="52" spans="2:8" x14ac:dyDescent="0.25">
      <c r="B52" s="236" t="str">
        <f>'Budget de projet'!B101</f>
        <v/>
      </c>
      <c r="C52" s="239" t="e">
        <f>'Budget de projet'!C101</f>
        <v>#DIV/0!</v>
      </c>
      <c r="D52" s="238" t="e">
        <f>'Budget de projet'!D101</f>
        <v>#DIV/0!</v>
      </c>
      <c r="E52" s="239">
        <f>'Budget de projet'!E101</f>
        <v>0</v>
      </c>
      <c r="F52" s="302">
        <f>'Budget de projet'!F101:G101</f>
        <v>0</v>
      </c>
      <c r="G52" s="562" t="e">
        <f>'Budget de projet'!H101</f>
        <v>#DIV/0!</v>
      </c>
      <c r="H52" s="563"/>
    </row>
    <row r="53" spans="2:8" x14ac:dyDescent="0.25">
      <c r="B53" s="236" t="str">
        <f>'Budget de projet'!B102</f>
        <v/>
      </c>
      <c r="C53" s="239" t="e">
        <f>'Budget de projet'!C102</f>
        <v>#DIV/0!</v>
      </c>
      <c r="D53" s="238" t="e">
        <f>'Budget de projet'!D102</f>
        <v>#DIV/0!</v>
      </c>
      <c r="E53" s="239">
        <f>'Budget de projet'!E102</f>
        <v>0</v>
      </c>
      <c r="F53" s="302">
        <f>'Budget de projet'!F102:G102</f>
        <v>0</v>
      </c>
      <c r="G53" s="562" t="e">
        <f>'Budget de projet'!H102</f>
        <v>#DIV/0!</v>
      </c>
      <c r="H53" s="563"/>
    </row>
    <row r="54" spans="2:8" ht="15.75" thickBot="1" x14ac:dyDescent="0.3">
      <c r="B54" s="237" t="str">
        <f>'Budget de projet'!B103</f>
        <v/>
      </c>
      <c r="C54" s="241" t="e">
        <f>'Budget de projet'!C103</f>
        <v>#DIV/0!</v>
      </c>
      <c r="D54" s="240" t="e">
        <f>'Budget de projet'!D103</f>
        <v>#DIV/0!</v>
      </c>
      <c r="E54" s="241">
        <f>'Budget de projet'!E103</f>
        <v>0</v>
      </c>
      <c r="F54" s="303">
        <f>'Budget de projet'!F103:G103</f>
        <v>0</v>
      </c>
      <c r="G54" s="564" t="e">
        <f>'Budget de projet'!H103</f>
        <v>#DIV/0!</v>
      </c>
      <c r="H54" s="565"/>
    </row>
  </sheetData>
  <sheetProtection algorithmName="SHA-512" hashValue="sKF87jgLOmMffY0M32NEESf1ATTS1Q+poFFTt2oNsfi4Pmj0tDe+rf85V7ev2Fjwos9tjFPKQAsSA5+rW2gvig==" saltValue="UWjs229ewTNla6SMvGmeCg==" spinCount="100000" sheet="1" objects="1" scenarios="1"/>
  <mergeCells count="88">
    <mergeCell ref="B33:C33"/>
    <mergeCell ref="D33:E33"/>
    <mergeCell ref="G50:H50"/>
    <mergeCell ref="G51:H51"/>
    <mergeCell ref="G52:H52"/>
    <mergeCell ref="C39:E39"/>
    <mergeCell ref="G53:H53"/>
    <mergeCell ref="G54:H54"/>
    <mergeCell ref="B41:H41"/>
    <mergeCell ref="B49:H49"/>
    <mergeCell ref="B34:C34"/>
    <mergeCell ref="B35:C35"/>
    <mergeCell ref="B36:C36"/>
    <mergeCell ref="B37:B40"/>
    <mergeCell ref="D34:E34"/>
    <mergeCell ref="C40:E40"/>
    <mergeCell ref="D35:E35"/>
    <mergeCell ref="D36:E36"/>
    <mergeCell ref="C37:E37"/>
    <mergeCell ref="C38:E38"/>
    <mergeCell ref="G26:H26"/>
    <mergeCell ref="C27:D27"/>
    <mergeCell ref="G28:H28"/>
    <mergeCell ref="B31:H31"/>
    <mergeCell ref="B32:C32"/>
    <mergeCell ref="D32:E32"/>
    <mergeCell ref="B30:H30"/>
    <mergeCell ref="C22:D22"/>
    <mergeCell ref="E22:F22"/>
    <mergeCell ref="G22:H22"/>
    <mergeCell ref="C24:D24"/>
    <mergeCell ref="E24:F24"/>
    <mergeCell ref="G24:H24"/>
    <mergeCell ref="C20:D20"/>
    <mergeCell ref="E20:F20"/>
    <mergeCell ref="G20:H20"/>
    <mergeCell ref="C21:D21"/>
    <mergeCell ref="E21:F21"/>
    <mergeCell ref="G21:H21"/>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C11:D11"/>
    <mergeCell ref="E11:F11"/>
    <mergeCell ref="G11:H11"/>
    <mergeCell ref="C12:D12"/>
    <mergeCell ref="E12:F12"/>
    <mergeCell ref="G12:H12"/>
    <mergeCell ref="C9:D9"/>
    <mergeCell ref="E9:F9"/>
    <mergeCell ref="G9:H9"/>
    <mergeCell ref="C10:D10"/>
    <mergeCell ref="E10:F10"/>
    <mergeCell ref="G10:H10"/>
    <mergeCell ref="C7:D7"/>
    <mergeCell ref="E7:F7"/>
    <mergeCell ref="G7:H7"/>
    <mergeCell ref="C8:D8"/>
    <mergeCell ref="E8:F8"/>
    <mergeCell ref="G8:H8"/>
    <mergeCell ref="C5:D5"/>
    <mergeCell ref="E5:F5"/>
    <mergeCell ref="G5:H5"/>
    <mergeCell ref="C6:D6"/>
    <mergeCell ref="E6:F6"/>
    <mergeCell ref="G6:H6"/>
    <mergeCell ref="B2:H2"/>
    <mergeCell ref="C3:D3"/>
    <mergeCell ref="E3:F3"/>
    <mergeCell ref="G3:H3"/>
    <mergeCell ref="C4:D4"/>
    <mergeCell ref="E4:F4"/>
    <mergeCell ref="G4:H4"/>
  </mergeCells>
  <conditionalFormatting sqref="C5:C7 E5:E7">
    <cfRule type="containsBlanks" dxfId="5" priority="7">
      <formula>LEN(TRIM(C5))=0</formula>
    </cfRule>
  </conditionalFormatting>
  <conditionalFormatting sqref="C9:C11 E9:E11">
    <cfRule type="containsBlanks" dxfId="4" priority="4">
      <formula>LEN(TRIM(C9))=0</formula>
    </cfRule>
  </conditionalFormatting>
  <conditionalFormatting sqref="C13:C15 E13:E15">
    <cfRule type="containsBlanks" dxfId="3" priority="3">
      <formula>LEN(TRIM(C13))=0</formula>
    </cfRule>
  </conditionalFormatting>
  <conditionalFormatting sqref="C17 E17">
    <cfRule type="containsBlanks" dxfId="2" priority="1">
      <formula>LEN(TRIM(C17))=0</formula>
    </cfRule>
  </conditionalFormatting>
  <dataValidations count="1">
    <dataValidation type="whole" allowBlank="1" showInputMessage="1" showErrorMessage="1" error="Les montants doivent être des nombres entiers" sqref="C4:G18">
      <formula1>0</formula1>
      <formula2>99999999999</formula2>
    </dataValidation>
  </dataValidations>
  <pageMargins left="0.7" right="0.7" top="0.75" bottom="0.75" header="0.3" footer="0.3"/>
  <pageSetup scale="68"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ellIs" priority="68" operator="lessThanOrEqual" id="{159080FB-14F8-4585-85F6-6485C1489CAC}">
            <xm:f>IF('Budget de projet'!$C$21="2-3",0,0.25*'Budget de projet'!$G$49)</xm:f>
            <x14:dxf>
              <font>
                <color rgb="FF006100"/>
              </font>
              <fill>
                <patternFill>
                  <bgColor rgb="FFC6EFCE"/>
                </patternFill>
              </fill>
            </x14:dxf>
          </x14:cfRule>
          <x14:cfRule type="cellIs" priority="69" operator="greaterThan" id="{A11A0170-2C15-4415-9847-679D8D79E814}">
            <xm:f>IF('Budget de projet'!$C$21="2-3",0,'Budget de projet'!$G$49*0.25)</xm:f>
            <x14:dxf>
              <font>
                <color rgb="FF9C0006"/>
              </font>
              <fill>
                <patternFill>
                  <bgColor rgb="FFFFC7CE"/>
                </patternFill>
              </fill>
            </x14:dxf>
          </x14:cfRule>
          <xm:sqref>G26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22</vt:i4>
      </vt:variant>
    </vt:vector>
  </HeadingPairs>
  <TitlesOfParts>
    <vt:vector size="31" baseType="lpstr">
      <vt:lpstr>Feuil1</vt:lpstr>
      <vt:lpstr>TRL1-3</vt:lpstr>
      <vt:lpstr>TRL4-6</vt:lpstr>
      <vt:lpstr>iTMT TRL1-3</vt:lpstr>
      <vt:lpstr>iTMT TRL4-6</vt:lpstr>
      <vt:lpstr>FRA</vt:lpstr>
      <vt:lpstr>ENG</vt:lpstr>
      <vt:lpstr>Budget de projet</vt:lpstr>
      <vt:lpstr>PrintSheet</vt:lpstr>
      <vt:lpstr>_123</vt:lpstr>
      <vt:lpstr>_124</vt:lpstr>
      <vt:lpstr>_A90</vt:lpstr>
      <vt:lpstr>A12A</vt:lpstr>
      <vt:lpstr>Appariement</vt:lpstr>
      <vt:lpstr>Cout_Recherche</vt:lpstr>
      <vt:lpstr>Duree</vt:lpstr>
      <vt:lpstr>Etablissement</vt:lpstr>
      <vt:lpstr>FG_MESI</vt:lpstr>
      <vt:lpstr>FIR_Ind</vt:lpstr>
      <vt:lpstr>Grappe</vt:lpstr>
      <vt:lpstr>Langue_Choisie</vt:lpstr>
      <vt:lpstr>MATÉRIEL</vt:lpstr>
      <vt:lpstr>Nbr_Ind</vt:lpstr>
      <vt:lpstr>PERSONNEL</vt:lpstr>
      <vt:lpstr>Sélectionnez</vt:lpstr>
      <vt:lpstr>Test_Budget_Commence</vt:lpstr>
      <vt:lpstr>Test_Info</vt:lpstr>
      <vt:lpstr>Test_Nbr_Etablissement</vt:lpstr>
      <vt:lpstr>Total_Admissible</vt:lpstr>
      <vt:lpstr>TransMedTech</vt:lpstr>
      <vt:lpstr>TRL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Djazia Liamini</dc:creator>
  <cp:lastModifiedBy>mpelletier</cp:lastModifiedBy>
  <cp:lastPrinted>2018-11-19T20:08:28Z</cp:lastPrinted>
  <dcterms:created xsi:type="dcterms:W3CDTF">2018-10-29T19:09:44Z</dcterms:created>
  <dcterms:modified xsi:type="dcterms:W3CDTF">2018-12-04T16:05:21Z</dcterms:modified>
</cp:coreProperties>
</file>