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PROGRAMMES\Oncopole\Axes 2 et 3\Programme FRQS-MedTeq\"/>
    </mc:Choice>
  </mc:AlternateContent>
  <workbookProtection workbookAlgorithmName="SHA-512" workbookHashValue="7Edo87kvrVFCzkO77GP3s8DnBL4NgDNo+MqYvhWwDuWwR1gdSM16VmQKw3UcdgGtnxxfglQavF2H1Ime5i6C5A==" workbookSaltValue="urMhyjAq1SYBkKE1N1AMJQ==" workbookSpinCount="100000" lockStructure="1"/>
  <bookViews>
    <workbookView xWindow="0" yWindow="0" windowWidth="23040" windowHeight="9000" firstSheet="7" activeTab="7"/>
  </bookViews>
  <sheets>
    <sheet name="Feuil1" sheetId="1" state="hidden" r:id="rId1"/>
    <sheet name="TRL1-3" sheetId="2" state="hidden" r:id="rId2"/>
    <sheet name="TRL4-6" sheetId="3" state="hidden" r:id="rId3"/>
    <sheet name="iTMT TRL1-3" sheetId="4" state="hidden" r:id="rId4"/>
    <sheet name="iTMT TRL4-6" sheetId="5" state="hidden" r:id="rId5"/>
    <sheet name="FRA" sheetId="8" state="hidden" r:id="rId6"/>
    <sheet name="ENG" sheetId="9" state="hidden" r:id="rId7"/>
    <sheet name="Budget de projet" sheetId="6" r:id="rId8"/>
    <sheet name="PrintSheet" sheetId="7" r:id="rId9"/>
  </sheets>
  <externalReferences>
    <externalReference r:id="rId10"/>
    <externalReference r:id="rId11"/>
  </externalReferences>
  <definedNames>
    <definedName name="_123">'Budget de projet'!$D$38</definedName>
    <definedName name="_124">'Budget de projet'!$D$36</definedName>
    <definedName name="_A90">'Budget de projet'!$D$44</definedName>
    <definedName name="A12A">'Budget de projet'!$D$45</definedName>
    <definedName name="Appariement">'Budget de projet'!$D$39</definedName>
    <definedName name="Autre_Other_montant">[1]Feuil1!$M$4</definedName>
    <definedName name="Cout_Recherche">'Budget de projet'!$M$39</definedName>
    <definedName name="CRSNG_RDC">[1]Feuil1!$M$6</definedName>
    <definedName name="Depenses_Admissibles">'Budget de projet'!#REF!</definedName>
    <definedName name="Duree">'Budget de projet'!$D$38</definedName>
    <definedName name="Etablissement">'Budget de projet'!$C$23</definedName>
    <definedName name="FG_MESI">'Budget de projet'!$M$42</definedName>
    <definedName name="FG_pourcentage_IND">[1]Feuil1!$AB$4</definedName>
    <definedName name="FG_pourcentage_MESI">[1]Feuil1!$AB$3</definedName>
    <definedName name="FIR_Ind">'Budget de projet'!$D$60</definedName>
    <definedName name="FRA">[1]Feuil1!$S$4</definedName>
    <definedName name="Grappe">'Budget de projet'!$D$41</definedName>
    <definedName name="Langue_Choisie">'Budget de projet'!$D$23</definedName>
    <definedName name="MATÉRIEL">'Budget de projet'!$M$28</definedName>
    <definedName name="Mitacs">[1]Feuil1!$M$8</definedName>
    <definedName name="Mitacs_contribution_base">[1]Feuil1!$V$5</definedName>
    <definedName name="Mitacs_contribution_grappe_min">[1]Feuil1!$V$10</definedName>
    <definedName name="Mitacs_contribution_grappe_suppl">[1]Feuil1!$V$11</definedName>
    <definedName name="Mitacs_contribution_IND_par_stage_NO_grappe">[2]Données!$R$13</definedName>
    <definedName name="Mitacs_contribution_IND_par_stage_si_grappe">[2]Données!$R$19</definedName>
    <definedName name="Mitacs_min_de_stage_pr_grappe">[1]Feuil1!$V$7</definedName>
    <definedName name="Nbr_Ind">'Budget de projet'!$D$45</definedName>
    <definedName name="OUI">[1]Feuil1!$X$3</definedName>
    <definedName name="PERSONNEL">'Budget de projet'!$M$25</definedName>
    <definedName name="Sélectionnez">Feuil1!$A$2</definedName>
    <definedName name="Test_Budget_Commence">'Budget de projet'!$X$36</definedName>
    <definedName name="Test_Info">'Budget de projet'!$X$22</definedName>
    <definedName name="Test_Nbr_Etablissement">'Budget de projet'!$X$27</definedName>
    <definedName name="Total_Admissible">'Budget de projet'!$M$52</definedName>
    <definedName name="TransMedTech">'Budget de projet'!$C$22</definedName>
    <definedName name="TRL">'Budget de projet'!$C$21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2" i="6" l="1"/>
  <c r="B73" i="9" l="1"/>
  <c r="G59" i="6"/>
  <c r="B73" i="6"/>
  <c r="B73" i="8"/>
  <c r="E22" i="8" l="1"/>
  <c r="E23" i="8"/>
  <c r="C30" i="8"/>
  <c r="G26" i="7" l="1"/>
  <c r="B17" i="6"/>
  <c r="E20" i="6"/>
  <c r="E42" i="9"/>
  <c r="C42" i="9"/>
  <c r="E38" i="9"/>
  <c r="E39" i="9"/>
  <c r="E40" i="9"/>
  <c r="C39" i="9"/>
  <c r="C40" i="9"/>
  <c r="C38" i="9"/>
  <c r="E34" i="9"/>
  <c r="E35" i="9"/>
  <c r="E36" i="9"/>
  <c r="C35" i="9"/>
  <c r="C36" i="9"/>
  <c r="C34" i="9"/>
  <c r="E30" i="9"/>
  <c r="E31" i="9"/>
  <c r="E32" i="9"/>
  <c r="C31" i="9"/>
  <c r="C32" i="9"/>
  <c r="C30" i="9"/>
  <c r="B12" i="6" l="1"/>
  <c r="B13" i="6"/>
  <c r="B14" i="6"/>
  <c r="B15" i="6"/>
  <c r="B16" i="6"/>
  <c r="B11" i="6"/>
  <c r="H61" i="6" l="1"/>
  <c r="H62" i="6"/>
  <c r="H63" i="6"/>
  <c r="H60" i="6"/>
  <c r="I63" i="9"/>
  <c r="I62" i="9"/>
  <c r="I61" i="9"/>
  <c r="I60" i="9"/>
  <c r="E61" i="9" l="1"/>
  <c r="E62" i="9"/>
  <c r="E63" i="9"/>
  <c r="E60" i="9"/>
  <c r="C61" i="9"/>
  <c r="C62" i="9"/>
  <c r="C63" i="9"/>
  <c r="C60" i="9"/>
  <c r="G51" i="9"/>
  <c r="G51" i="8"/>
  <c r="G73" i="9"/>
  <c r="F73" i="9"/>
  <c r="E73" i="9"/>
  <c r="G73" i="6"/>
  <c r="F73" i="6"/>
  <c r="E73" i="6"/>
  <c r="G73" i="8"/>
  <c r="F73" i="8"/>
  <c r="E73" i="8"/>
  <c r="C23" i="8"/>
  <c r="C24" i="8"/>
  <c r="C25" i="8"/>
  <c r="C20" i="8"/>
  <c r="C21" i="8"/>
  <c r="F103" i="6" l="1"/>
  <c r="F102" i="6"/>
  <c r="F101" i="6"/>
  <c r="F100" i="6"/>
  <c r="H21" i="6"/>
  <c r="I21" i="6"/>
  <c r="G21" i="6"/>
  <c r="E21" i="6"/>
  <c r="B22" i="6"/>
  <c r="B21" i="6"/>
  <c r="C91" i="6"/>
  <c r="H99" i="6"/>
  <c r="F99" i="6"/>
  <c r="E99" i="6"/>
  <c r="D99" i="6"/>
  <c r="C99" i="6"/>
  <c r="B99" i="6"/>
  <c r="B98" i="6"/>
  <c r="B92" i="6"/>
  <c r="B91" i="6"/>
  <c r="B90" i="6"/>
  <c r="B86" i="6"/>
  <c r="B85" i="6"/>
  <c r="B84" i="6"/>
  <c r="B83" i="6"/>
  <c r="B82" i="6"/>
  <c r="B81" i="6"/>
  <c r="B80" i="6"/>
  <c r="B77" i="6"/>
  <c r="B74" i="6"/>
  <c r="B72" i="6"/>
  <c r="B71" i="6"/>
  <c r="H68" i="6"/>
  <c r="G68" i="6"/>
  <c r="E68" i="6"/>
  <c r="E57" i="6"/>
  <c r="C57" i="6"/>
  <c r="B53" i="6"/>
  <c r="B49" i="6"/>
  <c r="B47" i="6"/>
  <c r="B46" i="6"/>
  <c r="B45" i="6"/>
  <c r="B43" i="6"/>
  <c r="B42" i="6"/>
  <c r="B41" i="6"/>
  <c r="B40" i="6"/>
  <c r="B39" i="6"/>
  <c r="B38" i="6"/>
  <c r="B37" i="6"/>
  <c r="B36" i="6"/>
  <c r="B35" i="6"/>
  <c r="B34" i="6"/>
  <c r="B33" i="6"/>
  <c r="B32" i="6"/>
  <c r="B31" i="6"/>
  <c r="B30" i="6"/>
  <c r="B29" i="6"/>
  <c r="G28" i="6"/>
  <c r="E28" i="6"/>
  <c r="C28" i="6"/>
  <c r="B25" i="6"/>
  <c r="B24" i="6"/>
  <c r="B23" i="6"/>
  <c r="E61" i="8" l="1"/>
  <c r="E62" i="8"/>
  <c r="E63" i="8"/>
  <c r="E60" i="8"/>
  <c r="C61" i="8"/>
  <c r="C62" i="8"/>
  <c r="C63" i="8"/>
  <c r="C60" i="8"/>
  <c r="E24" i="8"/>
  <c r="B62" i="8" s="1"/>
  <c r="C89" i="8" s="1"/>
  <c r="E25" i="8"/>
  <c r="B63" i="8" s="1"/>
  <c r="B103" i="8" s="1"/>
  <c r="E42" i="8"/>
  <c r="G42" i="8" s="1"/>
  <c r="C42" i="8"/>
  <c r="C39" i="8"/>
  <c r="E39" i="8"/>
  <c r="C40" i="8"/>
  <c r="E40" i="8"/>
  <c r="E38" i="8"/>
  <c r="C38" i="8"/>
  <c r="C35" i="8"/>
  <c r="E35" i="8"/>
  <c r="C36" i="8"/>
  <c r="E36" i="8"/>
  <c r="E34" i="8"/>
  <c r="G34" i="8" s="1"/>
  <c r="C34" i="8"/>
  <c r="C31" i="8"/>
  <c r="E31" i="8"/>
  <c r="C32" i="8"/>
  <c r="E32" i="8"/>
  <c r="E30" i="8"/>
  <c r="G30" i="8"/>
  <c r="B70" i="6"/>
  <c r="C68" i="6"/>
  <c r="C67" i="6"/>
  <c r="B64" i="6"/>
  <c r="B59" i="6"/>
  <c r="I58" i="6"/>
  <c r="I56" i="6"/>
  <c r="H56" i="6"/>
  <c r="G56" i="6"/>
  <c r="C56" i="6"/>
  <c r="B55" i="6"/>
  <c r="D28" i="6"/>
  <c r="F28" i="6"/>
  <c r="B28" i="6"/>
  <c r="B3" i="7" s="1"/>
  <c r="B27" i="6"/>
  <c r="B20" i="6"/>
  <c r="B19" i="6"/>
  <c r="B10" i="6"/>
  <c r="D8" i="6"/>
  <c r="B96" i="9"/>
  <c r="B95" i="6" s="1"/>
  <c r="C85" i="9"/>
  <c r="C84" i="9"/>
  <c r="C83" i="9"/>
  <c r="C82" i="9"/>
  <c r="C81" i="9"/>
  <c r="E74" i="9"/>
  <c r="B97" i="9"/>
  <c r="B95" i="9"/>
  <c r="B94" i="6" s="1"/>
  <c r="B94" i="9"/>
  <c r="B93" i="6" s="1"/>
  <c r="G69" i="9"/>
  <c r="F69" i="9"/>
  <c r="E69" i="9"/>
  <c r="D69" i="9"/>
  <c r="C69" i="9"/>
  <c r="F103" i="9"/>
  <c r="B63" i="9"/>
  <c r="B103" i="9" s="1"/>
  <c r="F102" i="9"/>
  <c r="B62" i="9"/>
  <c r="B102" i="9" s="1"/>
  <c r="F101" i="9"/>
  <c r="B61" i="9"/>
  <c r="C88" i="9" s="1"/>
  <c r="F100" i="9"/>
  <c r="B60" i="9"/>
  <c r="C87" i="9" s="1"/>
  <c r="G59" i="9"/>
  <c r="G63" i="9" s="1"/>
  <c r="E59" i="9"/>
  <c r="E64" i="9" s="1"/>
  <c r="G42" i="9"/>
  <c r="E41" i="9"/>
  <c r="C41" i="9"/>
  <c r="G40" i="9"/>
  <c r="G39" i="9"/>
  <c r="G38" i="9"/>
  <c r="E37" i="9"/>
  <c r="C37" i="9"/>
  <c r="G36" i="9"/>
  <c r="G35" i="9"/>
  <c r="G34" i="9"/>
  <c r="E33" i="9"/>
  <c r="C33" i="9"/>
  <c r="G32" i="9"/>
  <c r="G31" i="9"/>
  <c r="G30" i="9"/>
  <c r="E29" i="9"/>
  <c r="C29" i="9"/>
  <c r="B96" i="8"/>
  <c r="C85" i="8"/>
  <c r="C84" i="8"/>
  <c r="C83" i="8"/>
  <c r="C82" i="8"/>
  <c r="C81" i="8"/>
  <c r="E74" i="8"/>
  <c r="B97" i="8"/>
  <c r="B95" i="8"/>
  <c r="B94" i="8"/>
  <c r="G69" i="8"/>
  <c r="F69" i="8"/>
  <c r="E69" i="8"/>
  <c r="D69" i="8"/>
  <c r="C69" i="8"/>
  <c r="I63" i="8"/>
  <c r="F103" i="8" s="1"/>
  <c r="I62" i="8"/>
  <c r="F102" i="8" s="1"/>
  <c r="I61" i="8"/>
  <c r="F101" i="8" s="1"/>
  <c r="B61" i="8"/>
  <c r="C88" i="8" s="1"/>
  <c r="I60" i="8"/>
  <c r="F100" i="8" s="1"/>
  <c r="B60" i="8"/>
  <c r="C87" i="8" s="1"/>
  <c r="G59" i="8"/>
  <c r="E59" i="8"/>
  <c r="C41" i="8"/>
  <c r="C82" i="6"/>
  <c r="D33" i="7" s="1"/>
  <c r="B43" i="7"/>
  <c r="C83" i="6"/>
  <c r="D34" i="7" s="1"/>
  <c r="C81" i="6"/>
  <c r="D32" i="7" s="1"/>
  <c r="E17" i="7"/>
  <c r="C17" i="7"/>
  <c r="C16" i="7" s="1"/>
  <c r="E13" i="7"/>
  <c r="E14" i="7"/>
  <c r="E15" i="7"/>
  <c r="C14" i="7"/>
  <c r="C15" i="7"/>
  <c r="C13" i="7"/>
  <c r="E9" i="7"/>
  <c r="E10" i="7"/>
  <c r="E11" i="7"/>
  <c r="C10" i="7"/>
  <c r="C11" i="7"/>
  <c r="C9" i="7"/>
  <c r="E5" i="7"/>
  <c r="E6" i="7"/>
  <c r="E7" i="7"/>
  <c r="C6" i="7"/>
  <c r="C7" i="7"/>
  <c r="C5" i="7"/>
  <c r="C84" i="6"/>
  <c r="D35" i="7" s="1"/>
  <c r="G32" i="8" l="1"/>
  <c r="B96" i="6"/>
  <c r="B47" i="7" s="1"/>
  <c r="G37" i="9"/>
  <c r="G41" i="9"/>
  <c r="C43" i="9"/>
  <c r="C46" i="9" s="1"/>
  <c r="E43" i="9"/>
  <c r="E46" i="9" s="1"/>
  <c r="G39" i="8"/>
  <c r="G35" i="8"/>
  <c r="G31" i="8"/>
  <c r="E41" i="8"/>
  <c r="G41" i="8" s="1"/>
  <c r="C29" i="8"/>
  <c r="E33" i="8"/>
  <c r="C37" i="8"/>
  <c r="G38" i="8"/>
  <c r="E64" i="8"/>
  <c r="G36" i="8"/>
  <c r="G63" i="8"/>
  <c r="J63" i="8" s="1"/>
  <c r="E29" i="8"/>
  <c r="E37" i="8"/>
  <c r="B102" i="8"/>
  <c r="B100" i="8"/>
  <c r="G40" i="8"/>
  <c r="C33" i="8"/>
  <c r="E103" i="9"/>
  <c r="J63" i="9"/>
  <c r="C89" i="9"/>
  <c r="B100" i="9"/>
  <c r="G33" i="9"/>
  <c r="G60" i="9"/>
  <c r="G62" i="9"/>
  <c r="C90" i="9"/>
  <c r="B101" i="9"/>
  <c r="G29" i="9"/>
  <c r="G61" i="9"/>
  <c r="C90" i="8"/>
  <c r="G60" i="8"/>
  <c r="G62" i="8"/>
  <c r="B101" i="8"/>
  <c r="G61" i="8"/>
  <c r="G5" i="7"/>
  <c r="G13" i="7"/>
  <c r="G11" i="7"/>
  <c r="G10" i="7"/>
  <c r="G6" i="7"/>
  <c r="G9" i="7"/>
  <c r="C8" i="7"/>
  <c r="E4" i="7"/>
  <c r="E8" i="7"/>
  <c r="G15" i="7"/>
  <c r="E12" i="7"/>
  <c r="C4" i="7"/>
  <c r="G7" i="7"/>
  <c r="G17" i="7"/>
  <c r="E16" i="7"/>
  <c r="G16" i="7" s="1"/>
  <c r="G14" i="7"/>
  <c r="C12" i="7"/>
  <c r="B46" i="7"/>
  <c r="C47" i="9" l="1"/>
  <c r="C45" i="9" s="1"/>
  <c r="C49" i="9" s="1"/>
  <c r="E47" i="9"/>
  <c r="E45" i="9" s="1"/>
  <c r="E49" i="9" s="1"/>
  <c r="G43" i="9"/>
  <c r="E43" i="8"/>
  <c r="E47" i="8" s="1"/>
  <c r="G29" i="8"/>
  <c r="G37" i="8"/>
  <c r="C43" i="8"/>
  <c r="C46" i="8" s="1"/>
  <c r="E103" i="8"/>
  <c r="G33" i="8"/>
  <c r="E102" i="9"/>
  <c r="J62" i="9"/>
  <c r="E100" i="9"/>
  <c r="J60" i="9"/>
  <c r="E101" i="9"/>
  <c r="J61" i="9"/>
  <c r="G46" i="9"/>
  <c r="J61" i="8"/>
  <c r="E101" i="8"/>
  <c r="E100" i="8"/>
  <c r="J60" i="8"/>
  <c r="E102" i="8"/>
  <c r="J62" i="8"/>
  <c r="G4" i="7"/>
  <c r="C18" i="7"/>
  <c r="C21" i="7" s="1"/>
  <c r="G8" i="7"/>
  <c r="E18" i="7"/>
  <c r="E22" i="7" s="1"/>
  <c r="G12" i="7"/>
  <c r="G47" i="9" l="1"/>
  <c r="G45" i="9" s="1"/>
  <c r="G49" i="9" s="1"/>
  <c r="G53" i="9" s="1"/>
  <c r="E46" i="8"/>
  <c r="G46" i="8" s="1"/>
  <c r="C47" i="8"/>
  <c r="C45" i="8" s="1"/>
  <c r="C49" i="8" s="1"/>
  <c r="G43" i="8"/>
  <c r="C22" i="7"/>
  <c r="G22" i="7" s="1"/>
  <c r="E45" i="8"/>
  <c r="E49" i="8" s="1"/>
  <c r="E21" i="7"/>
  <c r="E20" i="7" s="1"/>
  <c r="E24" i="7" s="1"/>
  <c r="G18" i="7"/>
  <c r="G42" i="6"/>
  <c r="G40" i="6"/>
  <c r="G39" i="6"/>
  <c r="G38" i="6"/>
  <c r="G36" i="6"/>
  <c r="G35" i="6"/>
  <c r="G34" i="6"/>
  <c r="G31" i="6"/>
  <c r="G32" i="6"/>
  <c r="G30" i="6"/>
  <c r="B51" i="9" l="1"/>
  <c r="D60" i="9"/>
  <c r="D62" i="9"/>
  <c r="F61" i="9"/>
  <c r="F60" i="9"/>
  <c r="F62" i="9"/>
  <c r="C86" i="9"/>
  <c r="D61" i="9"/>
  <c r="F63" i="9"/>
  <c r="F59" i="9"/>
  <c r="D63" i="9"/>
  <c r="G47" i="8"/>
  <c r="G45" i="8" s="1"/>
  <c r="G49" i="8" s="1"/>
  <c r="G53" i="8" s="1"/>
  <c r="C20" i="7"/>
  <c r="C24" i="7" s="1"/>
  <c r="G21" i="7"/>
  <c r="G20" i="7" s="1"/>
  <c r="G24" i="7" s="1"/>
  <c r="E59" i="6"/>
  <c r="F64" i="9" l="1"/>
  <c r="B51" i="8"/>
  <c r="B51" i="6" s="1"/>
  <c r="D60" i="8"/>
  <c r="D61" i="8"/>
  <c r="F63" i="8"/>
  <c r="D62" i="8"/>
  <c r="C86" i="8"/>
  <c r="F62" i="8"/>
  <c r="F59" i="8"/>
  <c r="D63" i="8"/>
  <c r="F60" i="8"/>
  <c r="F61" i="8"/>
  <c r="G28" i="7"/>
  <c r="B26" i="7"/>
  <c r="C8" i="3"/>
  <c r="C13" i="5"/>
  <c r="F64" i="8" l="1"/>
  <c r="G61" i="6"/>
  <c r="G69" i="6"/>
  <c r="F51" i="7"/>
  <c r="F52" i="7"/>
  <c r="F53" i="7"/>
  <c r="F54" i="7"/>
  <c r="B61" i="6"/>
  <c r="B62" i="6"/>
  <c r="B63" i="6"/>
  <c r="B60" i="6"/>
  <c r="E74" i="6"/>
  <c r="D69" i="6"/>
  <c r="E69" i="6"/>
  <c r="F69" i="6"/>
  <c r="B44" i="7"/>
  <c r="E41" i="6"/>
  <c r="C41" i="6"/>
  <c r="E37" i="6"/>
  <c r="C37" i="6"/>
  <c r="E33" i="6"/>
  <c r="C33" i="6"/>
  <c r="E29" i="6"/>
  <c r="C29" i="6"/>
  <c r="G29" i="6" l="1"/>
  <c r="G37" i="6"/>
  <c r="E101" i="6"/>
  <c r="E52" i="7" s="1"/>
  <c r="I61" i="6"/>
  <c r="B100" i="6"/>
  <c r="B51" i="7" s="1"/>
  <c r="C86" i="6"/>
  <c r="C37" i="7" s="1"/>
  <c r="B103" i="6"/>
  <c r="B54" i="7" s="1"/>
  <c r="C89" i="6"/>
  <c r="C40" i="7" s="1"/>
  <c r="B102" i="6"/>
  <c r="B53" i="7" s="1"/>
  <c r="C88" i="6"/>
  <c r="C39" i="7" s="1"/>
  <c r="B101" i="6"/>
  <c r="B52" i="7" s="1"/>
  <c r="C87" i="6"/>
  <c r="C38" i="7" s="1"/>
  <c r="G33" i="6"/>
  <c r="G41" i="6"/>
  <c r="G63" i="6"/>
  <c r="I63" i="6" s="1"/>
  <c r="G60" i="6"/>
  <c r="I60" i="6" s="1"/>
  <c r="G62" i="6"/>
  <c r="I62" i="6" s="1"/>
  <c r="E43" i="6"/>
  <c r="C43" i="6"/>
  <c r="E103" i="6" l="1"/>
  <c r="E54" i="7" s="1"/>
  <c r="E102" i="6"/>
  <c r="E53" i="7" s="1"/>
  <c r="E100" i="6"/>
  <c r="E51" i="7" s="1"/>
  <c r="C47" i="6"/>
  <c r="C46" i="6"/>
  <c r="E46" i="6"/>
  <c r="E47" i="6"/>
  <c r="G46" i="6" l="1"/>
  <c r="G47" i="6"/>
  <c r="E45" i="6"/>
  <c r="E49" i="6" s="1"/>
  <c r="C45" i="6"/>
  <c r="C49" i="6" s="1"/>
  <c r="G7" i="4" l="1"/>
  <c r="G7" i="2"/>
  <c r="G8" i="2" s="1"/>
  <c r="G10" i="2" s="1"/>
  <c r="G9" i="2"/>
  <c r="I8" i="2" s="1"/>
  <c r="G8" i="4" l="1"/>
  <c r="G9" i="4"/>
  <c r="E33" i="1"/>
  <c r="E35" i="1"/>
  <c r="E38" i="1" l="1"/>
  <c r="G11" i="4"/>
  <c r="K20" i="1"/>
  <c r="L14" i="1"/>
  <c r="L16" i="1"/>
  <c r="L17" i="1" s="1"/>
  <c r="H17" i="1" l="1"/>
  <c r="H18" i="1" s="1"/>
  <c r="F12" i="1"/>
  <c r="F6" i="1" s="1"/>
  <c r="F9" i="1"/>
  <c r="B9" i="1"/>
  <c r="H15" i="1" l="1"/>
  <c r="H19" i="1" s="1"/>
  <c r="E64" i="6"/>
  <c r="E7" i="1"/>
  <c r="G16" i="1"/>
  <c r="E24" i="1" l="1"/>
  <c r="E25" i="1" s="1"/>
  <c r="G17" i="1"/>
  <c r="E8" i="1"/>
  <c r="G45" i="6" l="1"/>
  <c r="G43" i="6"/>
  <c r="C8" i="4" s="1"/>
  <c r="G49" i="6" l="1"/>
  <c r="C9" i="5"/>
  <c r="C12" i="5" s="1"/>
  <c r="C10" i="4"/>
  <c r="C11" i="4"/>
  <c r="C8" i="2"/>
  <c r="C14" i="5" l="1"/>
  <c r="C19" i="5" s="1"/>
  <c r="C11" i="5"/>
  <c r="G53" i="6"/>
  <c r="C85" i="6" s="1"/>
  <c r="D36" i="7" s="1"/>
  <c r="C13" i="2"/>
  <c r="C11" i="2"/>
  <c r="E20" i="2" s="1"/>
  <c r="C10" i="2"/>
  <c r="F19" i="5" l="1"/>
  <c r="D13" i="5"/>
  <c r="C16" i="5"/>
  <c r="F60" i="6"/>
  <c r="D63" i="6"/>
  <c r="D62" i="6"/>
  <c r="F63" i="6"/>
  <c r="C9" i="3"/>
  <c r="G8" i="3"/>
  <c r="G7" i="3" s="1"/>
  <c r="F59" i="6"/>
  <c r="F62" i="6"/>
  <c r="F61" i="6"/>
  <c r="D60" i="6"/>
  <c r="D61" i="6"/>
  <c r="C13" i="4"/>
  <c r="G9" i="5"/>
  <c r="G7" i="5" s="1"/>
  <c r="D19" i="5"/>
  <c r="C16" i="2"/>
  <c r="C15" i="2"/>
  <c r="G23" i="2"/>
  <c r="C17" i="2"/>
  <c r="D13" i="2"/>
  <c r="D16" i="5" l="1"/>
  <c r="C17" i="4"/>
  <c r="C15" i="4"/>
  <c r="C72" i="9" s="1"/>
  <c r="C18" i="4"/>
  <c r="C16" i="4"/>
  <c r="F64" i="6"/>
  <c r="G9" i="3"/>
  <c r="G10" i="3"/>
  <c r="G10" i="5"/>
  <c r="G11" i="5"/>
  <c r="C18" i="5" s="1"/>
  <c r="C71" i="9" s="1"/>
  <c r="C17" i="5"/>
  <c r="C12" i="3"/>
  <c r="C14" i="3"/>
  <c r="C11" i="3"/>
  <c r="C18" i="2"/>
  <c r="C70" i="8" l="1"/>
  <c r="C72" i="8"/>
  <c r="C73" i="6"/>
  <c r="C96" i="6" s="1"/>
  <c r="C47" i="7" s="1"/>
  <c r="C73" i="8"/>
  <c r="C73" i="9"/>
  <c r="C70" i="9"/>
  <c r="C71" i="8"/>
  <c r="C20" i="2"/>
  <c r="C19" i="4"/>
  <c r="D17" i="5"/>
  <c r="E19" i="5"/>
  <c r="C20" i="5"/>
  <c r="G11" i="3"/>
  <c r="D18" i="5"/>
  <c r="F20" i="3"/>
  <c r="C18" i="3"/>
  <c r="D8" i="3"/>
  <c r="C16" i="3"/>
  <c r="C17" i="3"/>
  <c r="G13" i="5"/>
  <c r="E18" i="2"/>
  <c r="E19" i="2"/>
  <c r="D17" i="3" l="1"/>
  <c r="C70" i="6"/>
  <c r="D18" i="3"/>
  <c r="C71" i="6"/>
  <c r="C94" i="6" s="1"/>
  <c r="C45" i="7" s="1"/>
  <c r="D73" i="8"/>
  <c r="D97" i="8" s="1"/>
  <c r="I73" i="8"/>
  <c r="C59" i="8"/>
  <c r="I73" i="9"/>
  <c r="D73" i="9"/>
  <c r="D97" i="9" s="1"/>
  <c r="H73" i="6"/>
  <c r="D73" i="6"/>
  <c r="D96" i="6" s="1"/>
  <c r="D47" i="7" s="1"/>
  <c r="C59" i="9"/>
  <c r="C21" i="4"/>
  <c r="C74" i="8"/>
  <c r="C94" i="8"/>
  <c r="I70" i="8"/>
  <c r="D70" i="8"/>
  <c r="C97" i="9"/>
  <c r="C96" i="9"/>
  <c r="D72" i="9"/>
  <c r="C97" i="8"/>
  <c r="I71" i="8"/>
  <c r="C95" i="8"/>
  <c r="D71" i="8"/>
  <c r="D95" i="8" s="1"/>
  <c r="C96" i="8"/>
  <c r="D72" i="8"/>
  <c r="C95" i="9"/>
  <c r="I71" i="9"/>
  <c r="D71" i="9"/>
  <c r="D95" i="9" s="1"/>
  <c r="C94" i="9"/>
  <c r="I70" i="9"/>
  <c r="C74" i="9"/>
  <c r="D70" i="9"/>
  <c r="D72" i="6"/>
  <c r="C95" i="6"/>
  <c r="C46" i="7" s="1"/>
  <c r="D70" i="6"/>
  <c r="D93" i="6" s="1"/>
  <c r="D44" i="7" s="1"/>
  <c r="D16" i="3"/>
  <c r="C19" i="3"/>
  <c r="C22" i="5"/>
  <c r="D20" i="5"/>
  <c r="D19" i="3" l="1"/>
  <c r="C59" i="6"/>
  <c r="C92" i="6" s="1"/>
  <c r="C43" i="7" s="1"/>
  <c r="D71" i="6"/>
  <c r="D94" i="6" s="1"/>
  <c r="D45" i="7" s="1"/>
  <c r="H71" i="6"/>
  <c r="G72" i="8"/>
  <c r="I72" i="8" s="1"/>
  <c r="I74" i="8" s="1"/>
  <c r="D96" i="8"/>
  <c r="D96" i="9"/>
  <c r="G72" i="9"/>
  <c r="I72" i="9" s="1"/>
  <c r="I74" i="9" s="1"/>
  <c r="D74" i="9"/>
  <c r="D94" i="9"/>
  <c r="D74" i="8"/>
  <c r="D94" i="8"/>
  <c r="C64" i="9"/>
  <c r="C65" i="9" s="1"/>
  <c r="C93" i="9"/>
  <c r="D59" i="9"/>
  <c r="C64" i="8"/>
  <c r="C65" i="8" s="1"/>
  <c r="C93" i="8"/>
  <c r="D59" i="8"/>
  <c r="C74" i="6"/>
  <c r="H70" i="6"/>
  <c r="C93" i="6"/>
  <c r="C44" i="7" s="1"/>
  <c r="G72" i="6"/>
  <c r="D95" i="6"/>
  <c r="D46" i="7" s="1"/>
  <c r="D22" i="3"/>
  <c r="D59" i="6"/>
  <c r="D92" i="6" s="1"/>
  <c r="D74" i="6"/>
  <c r="C22" i="3"/>
  <c r="C64" i="6" l="1"/>
  <c r="C97" i="6"/>
  <c r="C48" i="7" s="1"/>
  <c r="C65" i="6"/>
  <c r="H72" i="6"/>
  <c r="H74" i="6" s="1"/>
  <c r="G74" i="6"/>
  <c r="D103" i="9"/>
  <c r="C103" i="9" s="1"/>
  <c r="H103" i="9" s="1"/>
  <c r="D101" i="9"/>
  <c r="C101" i="9" s="1"/>
  <c r="H101" i="9" s="1"/>
  <c r="D64" i="9"/>
  <c r="D100" i="9"/>
  <c r="C100" i="9" s="1"/>
  <c r="H100" i="9" s="1"/>
  <c r="D102" i="9"/>
  <c r="C102" i="9" s="1"/>
  <c r="H102" i="9" s="1"/>
  <c r="D93" i="9"/>
  <c r="D103" i="8"/>
  <c r="C103" i="8" s="1"/>
  <c r="H103" i="8" s="1"/>
  <c r="D101" i="8"/>
  <c r="C101" i="8" s="1"/>
  <c r="H101" i="8" s="1"/>
  <c r="D93" i="8"/>
  <c r="D102" i="8"/>
  <c r="C102" i="8" s="1"/>
  <c r="H102" i="8" s="1"/>
  <c r="D64" i="8"/>
  <c r="D100" i="8"/>
  <c r="C100" i="8" s="1"/>
  <c r="H100" i="8" s="1"/>
  <c r="D102" i="6"/>
  <c r="D100" i="6"/>
  <c r="D101" i="6"/>
  <c r="D103" i="6"/>
  <c r="D64" i="6"/>
  <c r="D43" i="7" l="1"/>
  <c r="D97" i="6"/>
  <c r="D48" i="7" s="1"/>
  <c r="C101" i="6"/>
  <c r="C52" i="7" s="1"/>
  <c r="C102" i="6"/>
  <c r="C53" i="7" s="1"/>
  <c r="C103" i="6"/>
  <c r="C54" i="7" s="1"/>
  <c r="C100" i="6"/>
  <c r="H100" i="6" s="1"/>
  <c r="G51" i="7" s="1"/>
  <c r="D54" i="7"/>
  <c r="D52" i="7"/>
  <c r="D51" i="7"/>
  <c r="D53" i="7"/>
  <c r="H101" i="6" l="1"/>
  <c r="G52" i="7" s="1"/>
  <c r="H102" i="6"/>
  <c r="G53" i="7" s="1"/>
  <c r="C51" i="7"/>
  <c r="H103" i="6"/>
  <c r="G54" i="7" s="1"/>
</calcChain>
</file>

<file path=xl/comments1.xml><?xml version="1.0" encoding="utf-8"?>
<comments xmlns="http://schemas.openxmlformats.org/spreadsheetml/2006/main">
  <authors>
    <author>Iris Leroux</author>
  </authors>
  <commentList>
    <comment ref="G40"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1"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3" authorId="0" shapeId="0">
      <text>
        <r>
          <rPr>
            <sz val="9"/>
            <color indexed="81"/>
            <rFont val="Tahoma"/>
            <family val="2"/>
          </rPr>
          <t xml:space="preserve">Le % des FIR de l'insitution de recherche versé par MEDTEQ s'applique uniquement sur les postes de dépenses PERSONNEL, MATÉRIEL ET CONSOMMABLES et DÉPLACEMENT.
</t>
        </r>
      </text>
    </comment>
    <comment ref="G54" authorId="0" shapeId="0">
      <text>
        <r>
          <rPr>
            <b/>
            <sz val="9"/>
            <color indexed="81"/>
            <rFont val="Tahoma"/>
            <family val="2"/>
          </rPr>
          <t>Iris Leroux:</t>
        </r>
        <r>
          <rPr>
            <sz val="9"/>
            <color indexed="81"/>
            <rFont val="Tahoma"/>
            <family val="2"/>
          </rPr>
          <t xml:space="preserve">
Le montant des FIR de l'insitution de recherche versé par d'autres organismes subventionnaires n'est pas estimé par MEDTEQ.</t>
        </r>
      </text>
    </comment>
  </commentList>
</comments>
</file>

<file path=xl/comments2.xml><?xml version="1.0" encoding="utf-8"?>
<comments xmlns="http://schemas.openxmlformats.org/spreadsheetml/2006/main">
  <authors>
    <author>Iris Leroux</author>
  </authors>
  <commentList>
    <comment ref="G42"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3"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5" authorId="0" shapeId="0">
      <text>
        <r>
          <rPr>
            <sz val="9"/>
            <color indexed="81"/>
            <rFont val="Tahoma"/>
            <family val="2"/>
          </rPr>
          <t xml:space="preserve">Le % des FIR de l'insitution de recherche versé par MEDTEQ s'applique uniquement sur les postes de dépenses PERSONNEL, MATÉRIEL ET CONSOMMABLES et DÉPLACEMENT.
</t>
        </r>
      </text>
    </comment>
    <comment ref="G56" authorId="0" shapeId="0">
      <text>
        <r>
          <rPr>
            <b/>
            <sz val="9"/>
            <color indexed="81"/>
            <rFont val="Tahoma"/>
            <family val="2"/>
          </rPr>
          <t>Iris Leroux:</t>
        </r>
        <r>
          <rPr>
            <sz val="9"/>
            <color indexed="81"/>
            <rFont val="Tahoma"/>
            <family val="2"/>
          </rPr>
          <t xml:space="preserve">
Le montant des FIR de l'insitution de recherche versé par d'autres organismes subventionnaires n'est pas estimé par MEDTEQ.</t>
        </r>
      </text>
    </comment>
  </commentList>
</comments>
</file>

<file path=xl/comments3.xml><?xml version="1.0" encoding="utf-8"?>
<comments xmlns="http://schemas.openxmlformats.org/spreadsheetml/2006/main">
  <authors>
    <author>Iris Leroux</author>
  </authors>
  <commentList>
    <comment ref="G40"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1"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3" authorId="0" shapeId="0">
      <text>
        <r>
          <rPr>
            <sz val="9"/>
            <color indexed="81"/>
            <rFont val="Tahoma"/>
            <family val="2"/>
          </rPr>
          <t xml:space="preserve">Le % des FIR de l'insitution de recherche versé par MEDTEQ s'applique uniquement sur les postes de dépenses PERSONNEL, MATÉRIEL ET CONSOMMABLES et DÉPLACEMENT.
</t>
        </r>
      </text>
    </comment>
    <comment ref="G54" authorId="0" shapeId="0">
      <text>
        <r>
          <rPr>
            <b/>
            <sz val="9"/>
            <color indexed="81"/>
            <rFont val="Tahoma"/>
            <family val="2"/>
          </rPr>
          <t>Iris Leroux:</t>
        </r>
        <r>
          <rPr>
            <sz val="9"/>
            <color indexed="81"/>
            <rFont val="Tahoma"/>
            <family val="2"/>
          </rPr>
          <t xml:space="preserve">
Le montant des FIR de l'insitution de recherche versé par d'autres organismes subventionnaires n'est pas estimé par MEDTEQ.</t>
        </r>
      </text>
    </comment>
  </commentList>
</comments>
</file>

<file path=xl/comments4.xml><?xml version="1.0" encoding="utf-8"?>
<comments xmlns="http://schemas.openxmlformats.org/spreadsheetml/2006/main">
  <authors>
    <author>Iris Leroux</author>
  </authors>
  <commentList>
    <comment ref="G41"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2" authorId="0" shapeId="0">
      <text>
        <r>
          <rPr>
            <sz val="9"/>
            <color indexed="81"/>
            <rFont val="Tahoma"/>
            <family val="2"/>
          </rPr>
          <t>Le % des FIR de l'insitution de recherche s'applique au pro rata des contributions en espèces de chaque partenaire (Industriels, Fédéral, MEDTEQ).
Le calcul des FIR ne prend pas en compte les frais de gestion.</t>
        </r>
      </text>
    </comment>
    <comment ref="G54" authorId="0" shapeId="0">
      <text>
        <r>
          <rPr>
            <sz val="9"/>
            <color indexed="81"/>
            <rFont val="Tahoma"/>
            <family val="2"/>
          </rPr>
          <t xml:space="preserve">Le % des FIR de l'insitution de recherche versé par MEDTEQ s'applique uniquement sur les postes de dépenses PERSONNEL, MATÉRIEL ET CONSOMMABLES et DÉPLACEMENT.
</t>
        </r>
      </text>
    </comment>
    <comment ref="G55" authorId="0" shapeId="0">
      <text>
        <r>
          <rPr>
            <b/>
            <sz val="9"/>
            <color indexed="81"/>
            <rFont val="Tahoma"/>
            <family val="2"/>
          </rPr>
          <t>Iris Leroux:</t>
        </r>
        <r>
          <rPr>
            <sz val="9"/>
            <color indexed="81"/>
            <rFont val="Tahoma"/>
            <family val="2"/>
          </rPr>
          <t xml:space="preserve">
Le montant des FIR de l'insitution de recherche versé par d'autres organismes subventionnaires n'est pas estimé par MEDTEQ.</t>
        </r>
      </text>
    </comment>
  </commentList>
</comments>
</file>

<file path=xl/sharedStrings.xml><?xml version="1.0" encoding="utf-8"?>
<sst xmlns="http://schemas.openxmlformats.org/spreadsheetml/2006/main" count="821" uniqueCount="371">
  <si>
    <t>Institut TransMedTech</t>
  </si>
  <si>
    <t>Oncopole</t>
  </si>
  <si>
    <t>SRC</t>
  </si>
  <si>
    <t>Industriel (inkind)</t>
  </si>
  <si>
    <t>Industriel (cash)</t>
  </si>
  <si>
    <t>% projet</t>
  </si>
  <si>
    <t>Coûts directs du projet</t>
  </si>
  <si>
    <t>Montant ($)</t>
  </si>
  <si>
    <t>Sans TMT</t>
  </si>
  <si>
    <t>Avec TMT</t>
  </si>
  <si>
    <t>% projet (max)</t>
  </si>
  <si>
    <t>MEDTEQ (fixe)</t>
  </si>
  <si>
    <t>TRL 4-5</t>
  </si>
  <si>
    <t>Fonds publics</t>
  </si>
  <si>
    <t>Fonds privés</t>
  </si>
  <si>
    <t>Nature</t>
  </si>
  <si>
    <t>Oncopole (max)</t>
  </si>
  <si>
    <t>Industriel (cash) min</t>
  </si>
  <si>
    <t>Classique</t>
  </si>
  <si>
    <t xml:space="preserve">MEDTEQ </t>
  </si>
  <si>
    <t>Industriel 2 (min)</t>
  </si>
  <si>
    <t>Exemple budget total</t>
  </si>
  <si>
    <t>Reste</t>
  </si>
  <si>
    <t>Industriel (min)</t>
  </si>
  <si>
    <t>SRC + Oncopole (max)</t>
  </si>
  <si>
    <t>La part industrielle doit avoir un rapport de 4 avec la contribution maximale de la SRC + Oncopole qui est de 225 000$ combinée</t>
  </si>
  <si>
    <t>Coûts directs + frais de gestion</t>
  </si>
  <si>
    <t>SRC (max)</t>
  </si>
  <si>
    <t>Autre + SRC (min 37500$)</t>
  </si>
  <si>
    <t>Max/Min</t>
  </si>
  <si>
    <t>Coût total min</t>
  </si>
  <si>
    <t>SRC + Oncopole</t>
  </si>
  <si>
    <t>4 projets, contribution SRC + Oncopole</t>
  </si>
  <si>
    <t>TRL 2-3</t>
  </si>
  <si>
    <t>Oncopole = MERCK = cash industriel</t>
  </si>
  <si>
    <t>Oncopole/MERCK (max 187 500$)</t>
  </si>
  <si>
    <t>Contribution maximale SRC</t>
  </si>
  <si>
    <t>20% min</t>
  </si>
  <si>
    <t>Industriel 1</t>
  </si>
  <si>
    <t>total 60%</t>
  </si>
  <si>
    <t>Industriel 2</t>
  </si>
  <si>
    <t>MEDTEQ</t>
  </si>
  <si>
    <t>MERCK</t>
  </si>
  <si>
    <t>Ind</t>
  </si>
  <si>
    <t>Total dépenses</t>
  </si>
  <si>
    <t>Frais de gestion</t>
  </si>
  <si>
    <t>Chargé au MÉI</t>
  </si>
  <si>
    <t>Chargé à l'industriel</t>
  </si>
  <si>
    <t>Total du projet</t>
  </si>
  <si>
    <t>MEDTEQ (40%)</t>
  </si>
  <si>
    <t>SUM</t>
  </si>
  <si>
    <t>Oncopole (max.$187,500.)</t>
  </si>
  <si>
    <t>SRC (max. $37,500.)</t>
  </si>
  <si>
    <t>Industriel</t>
  </si>
  <si>
    <t xml:space="preserve">Industriel </t>
  </si>
  <si>
    <t>iTMT</t>
  </si>
  <si>
    <t>MEDTEQ (20%)</t>
  </si>
  <si>
    <t>FIR</t>
  </si>
  <si>
    <t>Membership</t>
  </si>
  <si>
    <t>TOTAL</t>
  </si>
  <si>
    <t>TRL</t>
  </si>
  <si>
    <t>CR ou Uni</t>
  </si>
  <si>
    <t>2-3</t>
  </si>
  <si>
    <t>4-5</t>
  </si>
  <si>
    <t>Avec TransMedTech</t>
  </si>
  <si>
    <t>Sans TransMedTech</t>
  </si>
  <si>
    <t>TransMedTech</t>
  </si>
  <si>
    <t>Centre de Recherche</t>
  </si>
  <si>
    <t>Université</t>
  </si>
  <si>
    <t>ANNÉE</t>
  </si>
  <si>
    <t>PERSONNEL</t>
  </si>
  <si>
    <t>- Étudiant(s)</t>
  </si>
  <si>
    <t>- Technicien(s)</t>
  </si>
  <si>
    <t>- Autres</t>
  </si>
  <si>
    <t>MATÉRIEL ET CONSOMMABLES</t>
  </si>
  <si>
    <t xml:space="preserve">·  Matériaux et fournitures </t>
  </si>
  <si>
    <t xml:space="preserve">·  Frais d’utilisation </t>
  </si>
  <si>
    <t xml:space="preserve">·  Autres </t>
  </si>
  <si>
    <t>DIFFUSION DES CONNAISSANCES</t>
  </si>
  <si>
    <t xml:space="preserve">·  Conférence </t>
  </si>
  <si>
    <t xml:space="preserve">·  Frais de voyage </t>
  </si>
  <si>
    <t xml:space="preserve">·  Frais liés à la diffusion </t>
  </si>
  <si>
    <t xml:space="preserve">AUTRES DÉPENSES </t>
  </si>
  <si>
    <t xml:space="preserve">·  Préciser </t>
  </si>
  <si>
    <t>TOTAL DU COÛT DE LA RECHERCHE</t>
  </si>
  <si>
    <t>FRAIS DE GESTION (FG)  (5%)</t>
  </si>
  <si>
    <t>Part du MESI  (2%)</t>
  </si>
  <si>
    <t>Part industrielle (3%) *</t>
  </si>
  <si>
    <t>TOTAL DES DÉPENSES ADMISSIBLES</t>
  </si>
  <si>
    <t>CÔUT TOTAL ADMISSIBLE DU PROJET</t>
  </si>
  <si>
    <t>BUDGET DE RECHERCHE DÉTAILLÉ</t>
  </si>
  <si>
    <t>Sélectionnez</t>
  </si>
  <si>
    <t>N/A</t>
  </si>
  <si>
    <t>PARTENAIRE(S) INDUSTRIEL</t>
  </si>
  <si>
    <t>RÉPARTITION DU FINANCEMENT</t>
  </si>
  <si>
    <t>Séparation du coût total admissible du projet</t>
  </si>
  <si>
    <t>En espèce (FG inclus)</t>
  </si>
  <si>
    <t>En nature</t>
  </si>
  <si>
    <t>Frais indirects de recherche</t>
  </si>
  <si>
    <t>(FIR)</t>
  </si>
  <si>
    <t>(avant taxes)</t>
  </si>
  <si>
    <t>Total demandé au(x) industriel(s)</t>
  </si>
  <si>
    <t>Validation ou écart</t>
  </si>
  <si>
    <t>$$$</t>
  </si>
  <si>
    <t>%</t>
  </si>
  <si>
    <t>PARTENAIRES PUBLICS</t>
  </si>
  <si>
    <t>Oncopôle</t>
  </si>
  <si>
    <t>Oui</t>
  </si>
  <si>
    <t>Non</t>
  </si>
  <si>
    <t>Frais d'adhésion MEDTEQ</t>
  </si>
  <si>
    <t>Industriels</t>
  </si>
  <si>
    <t>Membre MEDTEQ?</t>
  </si>
  <si>
    <t>Chiffre d'affaire de l'organisation</t>
  </si>
  <si>
    <t>Moins de deux ans d'activité</t>
  </si>
  <si>
    <t>Plus de 50 M$</t>
  </si>
  <si>
    <t>Moins de 5 M$</t>
  </si>
  <si>
    <t>Pourcentage pour le calcul des FIR</t>
  </si>
  <si>
    <t>Etablissements de recherche (De A à Z)</t>
  </si>
  <si>
    <t>CIMMI</t>
  </si>
  <si>
    <t>Concordia</t>
  </si>
  <si>
    <t>CRCHU de Québec</t>
  </si>
  <si>
    <t>CRCHUM</t>
  </si>
  <si>
    <t xml:space="preserve">CRCHUS </t>
  </si>
  <si>
    <t>CRCHUSJ</t>
  </si>
  <si>
    <t>École de Technologie Supérieure</t>
  </si>
  <si>
    <t>Groupe CTT</t>
  </si>
  <si>
    <t>IILM</t>
  </si>
  <si>
    <t>INO</t>
  </si>
  <si>
    <t>INRS</t>
  </si>
  <si>
    <t>Institut de Cardiologie de Montréal</t>
  </si>
  <si>
    <t>IR-CUSM</t>
  </si>
  <si>
    <t>OPTECH</t>
  </si>
  <si>
    <t>Polytechnique Montréal</t>
  </si>
  <si>
    <t>TOPMED</t>
  </si>
  <si>
    <t>Université de Laval</t>
  </si>
  <si>
    <t>Université de Montréal</t>
  </si>
  <si>
    <t>Université de Sherbrooke</t>
  </si>
  <si>
    <t>Université du Québec à Montréal</t>
  </si>
  <si>
    <t>Université McGill</t>
  </si>
  <si>
    <t>Frais indirects de recherche (FIR)</t>
  </si>
  <si>
    <t>Montant in-kind</t>
  </si>
  <si>
    <t>Ind. In-kind</t>
  </si>
  <si>
    <t>In-kind admissible</t>
  </si>
  <si>
    <t/>
  </si>
  <si>
    <t>Instructions</t>
  </si>
  <si>
    <t>SOMMAIRE</t>
  </si>
  <si>
    <t>Coûts direct</t>
  </si>
  <si>
    <t>Information sur le projet</t>
  </si>
  <si>
    <t>Répartition du financement</t>
  </si>
  <si>
    <t>Montant</t>
  </si>
  <si>
    <t>Montant au projet</t>
  </si>
  <si>
    <t>FG</t>
  </si>
  <si>
    <t>Frais d'adhésion</t>
  </si>
  <si>
    <t>Total</t>
  </si>
  <si>
    <t>Partenaires non publics (privé, industriel, OBNL, fondations)</t>
  </si>
  <si>
    <t>Partenaires financiers du projet</t>
  </si>
  <si>
    <t>Industriels/partenaire privés</t>
  </si>
  <si>
    <t>Type d'organisation</t>
  </si>
  <si>
    <t>Société de consultation</t>
  </si>
  <si>
    <r>
      <t>☐</t>
    </r>
    <r>
      <rPr>
        <sz val="10"/>
        <color theme="1"/>
        <rFont val="Arial"/>
        <family val="2"/>
      </rPr>
      <t xml:space="preserve"> Université</t>
    </r>
  </si>
  <si>
    <t xml:space="preserve">  4 000 $</t>
  </si>
  <si>
    <r>
      <t>☐</t>
    </r>
    <r>
      <rPr>
        <sz val="10"/>
        <color theme="1"/>
        <rFont val="Arial"/>
        <family val="2"/>
      </rPr>
      <t xml:space="preserve"> CCTT </t>
    </r>
    <r>
      <rPr>
        <sz val="9"/>
        <color theme="1"/>
        <rFont val="Arial"/>
        <family val="2"/>
      </rPr>
      <t>(Centre collégial de transfert technologique)</t>
    </r>
  </si>
  <si>
    <t>1 800 $</t>
  </si>
  <si>
    <r>
      <t>☐</t>
    </r>
    <r>
      <rPr>
        <sz val="10"/>
        <color theme="1"/>
        <rFont val="Arial"/>
        <family val="2"/>
      </rPr>
      <t xml:space="preserve"> Centre de recherche </t>
    </r>
  </si>
  <si>
    <r>
      <t>Établissement du réseau de la santé et des services sociaux</t>
    </r>
    <r>
      <rPr>
        <sz val="4"/>
        <color theme="1"/>
        <rFont val="Arial"/>
        <family val="2"/>
      </rPr>
      <t> </t>
    </r>
  </si>
  <si>
    <r>
      <t>☐</t>
    </r>
    <r>
      <rPr>
        <sz val="10"/>
        <color theme="1"/>
        <rFont val="Arial"/>
        <family val="2"/>
      </rPr>
      <t xml:space="preserve"> CHU, CIUSSS et Institut</t>
    </r>
  </si>
  <si>
    <t>4 000 $</t>
  </si>
  <si>
    <t>Société de consultation </t>
  </si>
  <si>
    <r>
      <t>☐</t>
    </r>
    <r>
      <rPr>
        <sz val="10"/>
        <color theme="1"/>
        <rFont val="Arial"/>
        <family val="2"/>
      </rPr>
      <t xml:space="preserve"> Moins de 10 M$ </t>
    </r>
  </si>
  <si>
    <r>
      <t>☐</t>
    </r>
    <r>
      <rPr>
        <sz val="10"/>
        <color theme="1"/>
        <rFont val="Arial"/>
        <family val="2"/>
      </rPr>
      <t xml:space="preserve"> Plus de 10 M$</t>
    </r>
  </si>
  <si>
    <t>7 500 $</t>
  </si>
  <si>
    <t>Membre académique et du réseau de la santé :</t>
  </si>
  <si>
    <r>
      <t>☐</t>
    </r>
    <r>
      <rPr>
        <sz val="10"/>
        <color theme="1"/>
        <rFont val="Arial"/>
        <family val="2"/>
      </rPr>
      <t xml:space="preserve"> CISSS</t>
    </r>
  </si>
  <si>
    <t>Organisation caritative et fondation :</t>
  </si>
  <si>
    <t>En fonction des fonds de recherche de l’organisation</t>
  </si>
  <si>
    <r>
      <t>☐</t>
    </r>
    <r>
      <rPr>
        <sz val="10"/>
        <color theme="1"/>
        <rFont val="Arial"/>
        <family val="2"/>
      </rPr>
      <t xml:space="preserve"> Moins de 5 M$ </t>
    </r>
  </si>
  <si>
    <t xml:space="preserve">    850 $</t>
  </si>
  <si>
    <r>
      <t>☐</t>
    </r>
    <r>
      <rPr>
        <sz val="10"/>
        <color theme="1"/>
        <rFont val="Arial"/>
        <family val="2"/>
      </rPr>
      <t xml:space="preserve"> Plus de 5 M$ </t>
    </r>
  </si>
  <si>
    <t xml:space="preserve"> 1 800 $</t>
  </si>
  <si>
    <t>Autres catégories :</t>
  </si>
  <si>
    <t xml:space="preserve"> </t>
  </si>
  <si>
    <r>
      <t>☐</t>
    </r>
    <r>
      <rPr>
        <sz val="10"/>
        <color theme="1"/>
        <rFont val="Arial"/>
        <family val="2"/>
      </rPr>
      <t xml:space="preserve"> Groupe d’intérêt, fédération </t>
    </r>
  </si>
  <si>
    <t xml:space="preserve">     850 $</t>
  </si>
  <si>
    <r>
      <t>☐</t>
    </r>
    <r>
      <rPr>
        <sz val="10"/>
        <color theme="1"/>
        <rFont val="Arial"/>
        <family val="2"/>
      </rPr>
      <t xml:space="preserve"> Incubateur, accélérateur</t>
    </r>
  </si>
  <si>
    <t xml:space="preserve">  5 000 $</t>
  </si>
  <si>
    <r>
      <t>☐</t>
    </r>
    <r>
      <rPr>
        <sz val="10"/>
        <color theme="1"/>
        <rFont val="Arial"/>
        <family val="2"/>
      </rPr>
      <t xml:space="preserve"> Société de valorisation</t>
    </r>
  </si>
  <si>
    <t xml:space="preserve">  5 000 $</t>
  </si>
  <si>
    <r>
      <t>☐</t>
    </r>
    <r>
      <rPr>
        <sz val="10"/>
        <color theme="1"/>
        <rFont val="Arial"/>
        <family val="2"/>
      </rPr>
      <t xml:space="preserve"> Organisme international (</t>
    </r>
    <r>
      <rPr>
        <sz val="8"/>
        <color theme="1"/>
        <rFont val="Arial"/>
        <family val="2"/>
      </rPr>
      <t>dollars canadiens (CAD))</t>
    </r>
  </si>
  <si>
    <r>
      <t>☐</t>
    </r>
    <r>
      <rPr>
        <sz val="10"/>
        <color theme="1"/>
        <rFont val="Arial"/>
        <family val="2"/>
      </rPr>
      <t xml:space="preserve"> </t>
    </r>
    <r>
      <rPr>
        <b/>
        <sz val="10"/>
        <color theme="1"/>
        <rFont val="Arial"/>
        <family val="2"/>
      </rPr>
      <t>Membre associé </t>
    </r>
  </si>
  <si>
    <t>5 000 $</t>
  </si>
  <si>
    <t xml:space="preserve">Catégorie </t>
  </si>
  <si>
    <t>Détail de la contribution industrielle</t>
  </si>
  <si>
    <t>3. BUDGET DE RECHERCHE DÉTAILLÉ</t>
  </si>
  <si>
    <t>1. INFORMATIONS SUR LE PROJET</t>
  </si>
  <si>
    <t>2. PARTENAIRES AU PROJET</t>
  </si>
  <si>
    <t>4. RÉPARTITION DU FINANCEMENT</t>
  </si>
  <si>
    <t>NMT (TRL)</t>
  </si>
  <si>
    <t>Membre industriel</t>
  </si>
  <si>
    <t>CCTT</t>
  </si>
  <si>
    <t>Centre de recherche</t>
  </si>
  <si>
    <t>CHU</t>
  </si>
  <si>
    <t>CIUSSS</t>
  </si>
  <si>
    <t>CISSS</t>
  </si>
  <si>
    <t>Organisation caritative</t>
  </si>
  <si>
    <t>Groupe d'intérêt</t>
  </si>
  <si>
    <t>Fédération</t>
  </si>
  <si>
    <t>Incubateur / accélérateur</t>
  </si>
  <si>
    <t>Société de valorisation</t>
  </si>
  <si>
    <t>Organisme international</t>
  </si>
  <si>
    <t>Chercheur Principal (1)</t>
  </si>
  <si>
    <t>Co-Chercheur Principal (2)</t>
  </si>
  <si>
    <t>Institution affiliée au chercheur principal (1)</t>
  </si>
  <si>
    <t>Institution affiliée au co-chercheur principal (2)</t>
  </si>
  <si>
    <t>Prénom, nom du chercheur principal (1)</t>
  </si>
  <si>
    <t>Prénom, nom du chercheur principal (2)</t>
  </si>
  <si>
    <t>Établissement de recherche (1)</t>
  </si>
  <si>
    <t>Aucun</t>
  </si>
  <si>
    <t>Fondation</t>
  </si>
  <si>
    <t>Institut</t>
  </si>
  <si>
    <t>De 5 M$ à 10 M$</t>
  </si>
  <si>
    <t>De 10 M$ à 50 M$</t>
  </si>
  <si>
    <t>Concours Onco-Tech</t>
  </si>
  <si>
    <t>Langue</t>
  </si>
  <si>
    <t>Language</t>
  </si>
  <si>
    <t>ENG</t>
  </si>
  <si>
    <t>Research Institute (1)</t>
  </si>
  <si>
    <t>Industrial</t>
  </si>
  <si>
    <t>Select</t>
  </si>
  <si>
    <t>Laval University</t>
  </si>
  <si>
    <t>Montreal University</t>
  </si>
  <si>
    <t>Sherbrooke University</t>
  </si>
  <si>
    <t>McGill University</t>
  </si>
  <si>
    <t>RI-MUHC</t>
  </si>
  <si>
    <t>None</t>
  </si>
  <si>
    <t>Industrial Member</t>
  </si>
  <si>
    <t>Consulting firm</t>
  </si>
  <si>
    <t>University</t>
  </si>
  <si>
    <t>Research Center</t>
  </si>
  <si>
    <t>Institute</t>
  </si>
  <si>
    <t>UHC</t>
  </si>
  <si>
    <t>Chritable organization</t>
  </si>
  <si>
    <t>Interest group</t>
  </si>
  <si>
    <t>Federation</t>
  </si>
  <si>
    <t>Incubators / accelerators</t>
  </si>
  <si>
    <t>Technology transfer organization</t>
  </si>
  <si>
    <t>International Member</t>
  </si>
  <si>
    <t>With TransMedTech</t>
  </si>
  <si>
    <t>Without TransMedTech</t>
  </si>
  <si>
    <t>Yes</t>
  </si>
  <si>
    <t>No</t>
  </si>
  <si>
    <t>Less than 2 years of activity</t>
  </si>
  <si>
    <t>Less than $5M</t>
  </si>
  <si>
    <t>From $5M to $10M</t>
  </si>
  <si>
    <t>From $10M to $50M</t>
  </si>
  <si>
    <t>More than $50M</t>
  </si>
  <si>
    <t>IR-CUSM / RI-MUHC</t>
  </si>
  <si>
    <t>Sélectionnez / Select</t>
  </si>
  <si>
    <t>Compagnie / Compagny</t>
  </si>
  <si>
    <t>Société de consultation / Consulting firm</t>
  </si>
  <si>
    <t>Université / University</t>
  </si>
  <si>
    <t>Centre de recherche / Research Center</t>
  </si>
  <si>
    <t>Institut / Institute</t>
  </si>
  <si>
    <t>CHU / UHC</t>
  </si>
  <si>
    <t>Organisation caritative / Charitable organization</t>
  </si>
  <si>
    <t>Groupe d'intérêt / Interest group</t>
  </si>
  <si>
    <t>Fédération / Federation</t>
  </si>
  <si>
    <t>Organisme international / International Member</t>
  </si>
  <si>
    <t>Moins de deux ans d'activité / Less than 2 years of activity</t>
  </si>
  <si>
    <t>5 M$ - 10 M$</t>
  </si>
  <si>
    <t>10 M$ - 50 M$</t>
  </si>
  <si>
    <t>Plus de / More than 50 M$</t>
  </si>
  <si>
    <t>Oui / Yes</t>
  </si>
  <si>
    <t>Non / No</t>
  </si>
  <si>
    <t>Avec / With TransMedTech</t>
  </si>
  <si>
    <t>Sans / Without TransMedTech</t>
  </si>
  <si>
    <t>TRL (NMT)</t>
  </si>
  <si>
    <t>Charitable organization</t>
  </si>
  <si>
    <t>Incubator / accelerator</t>
  </si>
  <si>
    <t>Incubateur-accélérateur / Incubator-accelerator</t>
  </si>
  <si>
    <t>Société de valorisation / Technology transfer organization</t>
  </si>
  <si>
    <t>Moins de / Less than 5 M$</t>
  </si>
  <si>
    <t>NMT (TRL) de projet</t>
  </si>
  <si>
    <t>Name, Last name of the P.I. (1)</t>
  </si>
  <si>
    <t>Industrial/Private partner</t>
  </si>
  <si>
    <t>2. PROJECT PARTNERS</t>
  </si>
  <si>
    <t>Type of organization</t>
  </si>
  <si>
    <t>MEDTEQ member?</t>
  </si>
  <si>
    <t>Category</t>
  </si>
  <si>
    <t>3. DETAILED PROJECT BUDGET</t>
  </si>
  <si>
    <t>YEAR</t>
  </si>
  <si>
    <t>- Student(s)</t>
  </si>
  <si>
    <t>- Other</t>
  </si>
  <si>
    <t>MATERIAL AND CONSUMMABLES</t>
  </si>
  <si>
    <t xml:space="preserve">·  Materials and supplies </t>
  </si>
  <si>
    <t xml:space="preserve">·  Users fees </t>
  </si>
  <si>
    <t>·  Others</t>
  </si>
  <si>
    <t>KNOWLEDGE TRANSFER</t>
  </si>
  <si>
    <t>·  Conference</t>
  </si>
  <si>
    <t>·  Travel Fees</t>
  </si>
  <si>
    <t>·  Publication expenses</t>
  </si>
  <si>
    <t>OTHER EXPENDITURES</t>
  </si>
  <si>
    <t>·  Specify</t>
  </si>
  <si>
    <t>RESEARCH COST TOTAL</t>
  </si>
  <si>
    <t>Management fees (MGMT Fees)  (5%)</t>
  </si>
  <si>
    <t>MÉI part  (2%)</t>
  </si>
  <si>
    <t>Industrial partner(s) part (3%)</t>
  </si>
  <si>
    <t>ELIGIBLE EXPENSES TOTAL</t>
  </si>
  <si>
    <t>TOTAL ELIGIBLE PROJECT COST</t>
  </si>
  <si>
    <t>4. FUNDING DISTRIBUTION</t>
  </si>
  <si>
    <t>In-cash (MGMT included)</t>
  </si>
  <si>
    <t>In-kind</t>
  </si>
  <si>
    <t>MEDTEQ joining fees</t>
  </si>
  <si>
    <t>(before taxes)</t>
  </si>
  <si>
    <t>Validation or deviation</t>
  </si>
  <si>
    <t>CRS</t>
  </si>
  <si>
    <t>Total of asked of the contest's partners</t>
  </si>
  <si>
    <t>5. SUMMARY</t>
  </si>
  <si>
    <t>Project information</t>
  </si>
  <si>
    <t>Principal Investigator (1)</t>
  </si>
  <si>
    <t>Non-public partners (private, industrial, NPO, fondations)</t>
  </si>
  <si>
    <t>Project financing partners</t>
  </si>
  <si>
    <t>Amount</t>
  </si>
  <si>
    <t>MGMT</t>
  </si>
  <si>
    <t>Distribution of funding</t>
  </si>
  <si>
    <t>Onco-Tech Contest</t>
  </si>
  <si>
    <t>Total needed from the private sector</t>
  </si>
  <si>
    <t>Eligible project cost distribution from the private sector</t>
  </si>
  <si>
    <t>*TRL = Tehcnologie Readiness Level</t>
  </si>
  <si>
    <t>*NMT = Niveau de Maturation Technologique</t>
  </si>
  <si>
    <t>*FG = Frais de Gestion</t>
  </si>
  <si>
    <t>*FIR = Frais Indirects de Recherche</t>
  </si>
  <si>
    <t>*SRC = Société de Recherche sur le Cancer</t>
  </si>
  <si>
    <t>Details of the industrial contribution</t>
  </si>
  <si>
    <t>*MGMT = Management Fees</t>
  </si>
  <si>
    <t>1. PROJECT INFORMATION</t>
  </si>
  <si>
    <t>Project TRL</t>
  </si>
  <si>
    <t>** Les abréviations se retrouvent en bas de la page</t>
  </si>
  <si>
    <t>Payé par le MÉI  (2%)</t>
  </si>
  <si>
    <t>5.SOMMAIRE</t>
  </si>
  <si>
    <r>
      <rPr>
        <b/>
        <sz val="12"/>
        <color theme="1"/>
        <rFont val="Calibri"/>
        <family val="2"/>
        <scheme val="minor"/>
      </rPr>
      <t>2-</t>
    </r>
    <r>
      <rPr>
        <sz val="12"/>
        <color theme="1"/>
        <rFont val="Calibri"/>
        <family val="2"/>
        <scheme val="minor"/>
      </rPr>
      <t xml:space="preserve"> Entrer le nom de l'industrie partenaire dans le tableau ''</t>
    </r>
    <r>
      <rPr>
        <b/>
        <sz val="12"/>
        <color theme="1"/>
        <rFont val="Calibri"/>
        <family val="2"/>
        <scheme val="minor"/>
      </rPr>
      <t>2.Partenaires au projet</t>
    </r>
    <r>
      <rPr>
        <sz val="12"/>
        <color theme="1"/>
        <rFont val="Calibri"/>
        <family val="2"/>
        <scheme val="minor"/>
      </rPr>
      <t>'', et compléter les informations sur la ou les organisation(s) (listes déroulantes des cases à droite).</t>
    </r>
  </si>
  <si>
    <r>
      <rPr>
        <b/>
        <sz val="12"/>
        <color theme="1"/>
        <rFont val="Calibri"/>
        <family val="2"/>
        <scheme val="minor"/>
      </rPr>
      <t>5-</t>
    </r>
    <r>
      <rPr>
        <sz val="12"/>
        <color theme="1"/>
        <rFont val="Calibri"/>
        <family val="2"/>
        <scheme val="minor"/>
      </rPr>
      <t xml:space="preserve"> Le tableau ''</t>
    </r>
    <r>
      <rPr>
        <b/>
        <sz val="12"/>
        <color theme="1"/>
        <rFont val="Calibri"/>
        <family val="2"/>
        <scheme val="minor"/>
      </rPr>
      <t>5. Sommaire</t>
    </r>
    <r>
      <rPr>
        <sz val="12"/>
        <color theme="1"/>
        <rFont val="Calibri"/>
        <family val="2"/>
        <scheme val="minor"/>
      </rPr>
      <t>'' est généré automatiquement et récapitule les données de montage financier liées au projet.</t>
    </r>
  </si>
  <si>
    <t>Coût total admissible du projet (incluant FG, et Contribution en nature industrielle si NMT 4-5)</t>
  </si>
  <si>
    <r>
      <rPr>
        <b/>
        <sz val="12"/>
        <color theme="1"/>
        <rFont val="Calibri"/>
        <family val="2"/>
        <scheme val="minor"/>
      </rPr>
      <t>3-</t>
    </r>
    <r>
      <rPr>
        <sz val="12"/>
        <color theme="1"/>
        <rFont val="Calibri"/>
        <family val="2"/>
        <scheme val="minor"/>
      </rPr>
      <t xml:space="preserve"> Incrire les dépenses liées au projet dans les postes budgétaires correspondants, dans le cases jaunes du tableau ''</t>
    </r>
    <r>
      <rPr>
        <b/>
        <sz val="12"/>
        <color theme="1"/>
        <rFont val="Calibri"/>
        <family val="2"/>
        <scheme val="minor"/>
      </rPr>
      <t>3. Budget de Recherche Détaillé</t>
    </r>
    <r>
      <rPr>
        <sz val="12"/>
        <color theme="1"/>
        <rFont val="Calibri"/>
        <family val="2"/>
        <scheme val="minor"/>
      </rPr>
      <t xml:space="preserve">''. Prendre note que pour les projets de NMT 4-5, une contribution en nature de la part des partenaires industriels est requise.  Celle ci sera calculée automatiquement et indiquée à </t>
    </r>
    <r>
      <rPr>
        <b/>
        <sz val="12"/>
        <color theme="1"/>
        <rFont val="Calibri"/>
        <family val="2"/>
        <scheme val="minor"/>
      </rPr>
      <t>la ligne B51</t>
    </r>
    <r>
      <rPr>
        <sz val="12"/>
        <color theme="1"/>
        <rFont val="Calibri"/>
        <family val="2"/>
        <scheme val="minor"/>
      </rPr>
      <t xml:space="preserve">. 
Veuillez indiquer à la </t>
    </r>
    <r>
      <rPr>
        <b/>
        <sz val="12"/>
        <color theme="1"/>
        <rFont val="Calibri"/>
        <family val="2"/>
        <scheme val="minor"/>
      </rPr>
      <t>case G51</t>
    </r>
    <r>
      <rPr>
        <sz val="12"/>
        <color theme="1"/>
        <rFont val="Calibri"/>
        <family val="2"/>
        <scheme val="minor"/>
      </rPr>
      <t xml:space="preserve">, puis à la </t>
    </r>
    <r>
      <rPr>
        <b/>
        <sz val="12"/>
        <color theme="1"/>
        <rFont val="Calibri"/>
        <family val="2"/>
        <scheme val="minor"/>
      </rPr>
      <t>case E60</t>
    </r>
    <r>
      <rPr>
        <sz val="12"/>
        <color theme="1"/>
        <rFont val="Calibri"/>
        <family val="2"/>
        <scheme val="minor"/>
      </rPr>
      <t xml:space="preserve"> le montant équivalent à la contribution en nature industriel rèel (égal ou inférieur au montant maximal admissible suggéré à la </t>
    </r>
    <r>
      <rPr>
        <b/>
        <sz val="12"/>
        <color theme="1"/>
        <rFont val="Calibri"/>
        <family val="2"/>
        <scheme val="minor"/>
      </rPr>
      <t>ligne B51</t>
    </r>
    <r>
      <rPr>
        <sz val="12"/>
        <color theme="1"/>
        <rFont val="Calibri"/>
        <family val="2"/>
        <scheme val="minor"/>
      </rPr>
      <t xml:space="preserve">). La case devient rouge si le montant excède la limite de 20% du budget de projet total. 
</t>
    </r>
  </si>
  <si>
    <t>FRA</t>
  </si>
  <si>
    <t xml:space="preserve">Jewish General Hospital </t>
  </si>
  <si>
    <t>TransMedTech Institute</t>
  </si>
  <si>
    <r>
      <rPr>
        <b/>
        <sz val="14"/>
        <color theme="1"/>
        <rFont val="Calibri"/>
        <family val="2"/>
        <scheme val="minor"/>
      </rPr>
      <t>1-</t>
    </r>
    <r>
      <rPr>
        <sz val="14"/>
        <color theme="1"/>
        <rFont val="Calibri"/>
        <family val="2"/>
        <scheme val="minor"/>
      </rPr>
      <t xml:space="preserve"> Fill the table ''1.Project Information'' board. </t>
    </r>
  </si>
  <si>
    <r>
      <rPr>
        <b/>
        <sz val="12"/>
        <color theme="1"/>
        <rFont val="Calibri"/>
        <family val="2"/>
        <scheme val="minor"/>
      </rPr>
      <t>1-</t>
    </r>
    <r>
      <rPr>
        <sz val="12"/>
        <color theme="1"/>
        <rFont val="Calibri"/>
        <family val="2"/>
        <scheme val="minor"/>
      </rPr>
      <t xml:space="preserve"> Remplir le tableau ''</t>
    </r>
    <r>
      <rPr>
        <b/>
        <sz val="12"/>
        <color theme="1"/>
        <rFont val="Calibri"/>
        <family val="2"/>
        <scheme val="minor"/>
      </rPr>
      <t>1. Informations sur le projet</t>
    </r>
    <r>
      <rPr>
        <sz val="12"/>
        <color theme="1"/>
        <rFont val="Calibri"/>
        <family val="2"/>
        <scheme val="minor"/>
      </rPr>
      <t>''.</t>
    </r>
  </si>
  <si>
    <t>Total eligible project costs (Including the management fees and the In-Kind contribution if the project is a TRL 4-5)</t>
  </si>
  <si>
    <r>
      <rPr>
        <b/>
        <sz val="12"/>
        <color theme="1"/>
        <rFont val="Calibri"/>
        <family val="2"/>
        <scheme val="minor"/>
      </rPr>
      <t>4-</t>
    </r>
    <r>
      <rPr>
        <sz val="12"/>
        <color theme="1"/>
        <rFont val="Calibri"/>
        <family val="2"/>
        <scheme val="minor"/>
      </rPr>
      <t xml:space="preserve">  Inscrire le montant de la contribution industrielle réel en espèces et en nature nécessaire des industriels respectivement aux cases C60 et E60. Un "OK" en vert indique que le montage financier est équilibré.</t>
    </r>
  </si>
  <si>
    <t xml:space="preserve">Payé par les partenaires industriels (3%) </t>
  </si>
  <si>
    <t>En espèces (FG inclus)</t>
  </si>
  <si>
    <t>Total demandé aux partenaires du concours</t>
  </si>
  <si>
    <t>Informations sur le projet</t>
  </si>
  <si>
    <t>Partenaires non publics (privés, industriels, OBNL, fondations)</t>
  </si>
  <si>
    <r>
      <rPr>
        <b/>
        <sz val="14"/>
        <color theme="1"/>
        <rFont val="Calibri"/>
        <family val="2"/>
        <scheme val="minor"/>
      </rPr>
      <t xml:space="preserve">2- </t>
    </r>
    <r>
      <rPr>
        <sz val="14"/>
        <color theme="1"/>
        <rFont val="Calibri"/>
        <family val="2"/>
        <scheme val="minor"/>
      </rPr>
      <t>Enter the name of the industrial partner(s) in the table ''2. Project partners'' and complete the organization's information.</t>
    </r>
  </si>
  <si>
    <r>
      <rPr>
        <b/>
        <sz val="14"/>
        <color theme="1"/>
        <rFont val="Calibri"/>
        <family val="2"/>
        <scheme val="minor"/>
      </rPr>
      <t xml:space="preserve">4- Enter the actual in-cash and in-kind industrial contribution respectively in cells C60 and E60. </t>
    </r>
    <r>
      <rPr>
        <sz val="14"/>
        <color theme="1"/>
        <rFont val="Calibri"/>
        <family val="2"/>
        <scheme val="minor"/>
      </rPr>
      <t xml:space="preserve"> A green "OK" will appear once the budget is balanced.</t>
    </r>
  </si>
  <si>
    <r>
      <rPr>
        <b/>
        <sz val="14"/>
        <color theme="1"/>
        <rFont val="Calibri"/>
        <family val="2"/>
        <scheme val="minor"/>
      </rPr>
      <t>3-</t>
    </r>
    <r>
      <rPr>
        <sz val="14"/>
        <color theme="1"/>
        <rFont val="Calibri"/>
        <family val="2"/>
        <scheme val="minor"/>
      </rPr>
      <t xml:space="preserve"> Enter the project's expenses in the adequate budget item in the yellow input "3. DETAILED PROJECT BUDGET" table. Take note that for the TRL 4-5 projects, an in-kind industrial contribution is required. For such projects, indicate an amount as in-kind contribution (in cell G51) either equal or lower to the maximal industrial in-kind contribution calculated (in cell B51) and make sure to also indicate this amount in cell E60. The cell turns to red if the amount written exceed the limit of 20% industrial in-kind contribution of the project budget.</t>
    </r>
  </si>
  <si>
    <r>
      <rPr>
        <b/>
        <sz val="14"/>
        <color theme="1"/>
        <rFont val="Calibri"/>
        <family val="2"/>
        <scheme val="minor"/>
      </rPr>
      <t xml:space="preserve">5- </t>
    </r>
    <r>
      <rPr>
        <sz val="14"/>
        <color theme="1"/>
        <rFont val="Calibri"/>
        <family val="2"/>
        <scheme val="minor"/>
      </rPr>
      <t>The table ''5.summary'' is automatically generated, and summarizes the project's budget data.</t>
    </r>
  </si>
  <si>
    <r>
      <rPr>
        <b/>
        <sz val="12"/>
        <color rgb="FFFF0000"/>
        <rFont val="Calibri"/>
        <family val="2"/>
        <scheme val="minor"/>
      </rPr>
      <t xml:space="preserve">6- SOUMISSION DU BUDGET  : Veuillez soumettre le présent fichier sous format EXCEL et PDF (1 page) avec votre demande complète.  Pour générer le PDF d'une page à joindre à l'application complète, veuillez vous diriger vers la page sommaire générée dans l'onglet Excel "PrintSheet"(voir au bas de ce classeur Excel). Veuillez l'imprimer/''enregistrer sous'' la page en format PDF en utilisant la fonction ''Fit Sheet to One Page''. Pour toute question, veuillez contacter : Djazia.Liamini@medteq.ca </t>
    </r>
    <r>
      <rPr>
        <sz val="12"/>
        <color theme="1"/>
        <rFont val="Calibri"/>
        <family val="2"/>
        <scheme val="minor"/>
      </rPr>
      <t xml:space="preserve">
</t>
    </r>
  </si>
  <si>
    <r>
      <t xml:space="preserve">6- SUBMISSION OF THE DOCUMENT : Submit the present document in Excel and PDF formats along with your full application form. To generate the single-page PDF to be included within the PDF of your full application form, simply go to the summary page generated in the “PrintSheet” tab (See at the bottom of  this Excel sheet ). From this tab, print/“save as” the page in PDF format and use the "Fit Sheet to One Page" function if necessary. For any question, contact </t>
    </r>
    <r>
      <rPr>
        <b/>
        <u/>
        <sz val="14"/>
        <color theme="1"/>
        <rFont val="Calibri"/>
        <family val="2"/>
        <scheme val="minor"/>
      </rPr>
      <t>djazia.liamini@medteq.ca</t>
    </r>
    <r>
      <rPr>
        <b/>
        <sz val="14"/>
        <color theme="1"/>
        <rFont val="Calibri"/>
        <family val="2"/>
        <scheme val="minor"/>
      </rPr>
      <t>.</t>
    </r>
    <r>
      <rPr>
        <sz val="14"/>
        <color theme="1"/>
        <rFont val="Calibri"/>
        <family val="2"/>
        <scheme val="minor"/>
      </rPr>
      <t xml:space="preserve">
</t>
    </r>
  </si>
  <si>
    <t>**Abbreviations can be found at the bottom of this page</t>
  </si>
  <si>
    <t>Name, Last name of the PI (2)</t>
  </si>
  <si>
    <t>Other eligible project cost distribution</t>
  </si>
  <si>
    <t>Indirect cost of research</t>
  </si>
  <si>
    <t>Institution affiliated with the PI (2)</t>
  </si>
  <si>
    <t>Institution affiliated with the PI (1)</t>
  </si>
  <si>
    <t>Principal Investigator (2)</t>
  </si>
  <si>
    <t>Indirect costs of research</t>
  </si>
  <si>
    <t>Amount for the project</t>
  </si>
  <si>
    <t>*CRS = Cancer Research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</si>
</sst>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0\ &quot;$&quot;_);[Red]\(#,##0\ &quot;$&quot;\)"/>
    <numFmt numFmtId="44" formatCode="_ * #,##0.00_)\ &quot;$&quot;_ ;_ * \(#,##0.00\)\ &quot;$&quot;_ ;_ * &quot;-&quot;??_)\ &quot;$&quot;_ ;_ @_ "/>
    <numFmt numFmtId="164" formatCode="_-&quot;$&quot;* #,##0.00_-;\-&quot;$&quot;* #,##0.00_-;_-&quot;$&quot;* &quot;-&quot;??_-;_-@_-"/>
    <numFmt numFmtId="165" formatCode="0.0%"/>
    <numFmt numFmtId="166" formatCode="0.000%"/>
    <numFmt numFmtId="167" formatCode="0.0000%"/>
    <numFmt numFmtId="168" formatCode="0.000000%"/>
    <numFmt numFmtId="169" formatCode="0.0000000%"/>
    <numFmt numFmtId="170" formatCode="_(&quot;$&quot;* #,##0_);_(&quot;$&quot;* \(#,##0\);_(&quot;$&quot;* &quot;-&quot;??_);_(@_)"/>
    <numFmt numFmtId="171" formatCode="_-&quot;$&quot;* #,##0_-;\-&quot;$&quot;* #,##0_-;_-&quot;$&quot;* &quot;-&quot;??_-;_-@_-"/>
    <numFmt numFmtId="172" formatCode="_ * #,##0_)\ &quot;$&quot;_ ;_ * \(#,##0\)\ &quot;$&quot;_ ;_ * &quot;-&quot;??_)\ &quot;$&quot;_ ;_ @_ "/>
  </numFmts>
  <fonts count="38" x14ac:knownFonts="1">
    <font>
      <sz val="11"/>
      <color theme="1"/>
      <name val="Calibri"/>
      <family val="2"/>
      <scheme val="minor"/>
    </font>
    <font>
      <sz val="11"/>
      <color theme="1"/>
      <name val="Calibri"/>
      <family val="2"/>
      <scheme val="minor"/>
    </font>
    <font>
      <b/>
      <sz val="11"/>
      <color rgb="FFFF0000"/>
      <name val="Calibri"/>
      <family val="2"/>
      <scheme val="minor"/>
    </font>
    <font>
      <sz val="11"/>
      <color rgb="FF9C0006"/>
      <name val="Calibri"/>
      <family val="2"/>
      <scheme val="minor"/>
    </font>
    <font>
      <b/>
      <sz val="11"/>
      <color theme="1"/>
      <name val="Calibri"/>
      <family val="2"/>
      <scheme val="minor"/>
    </font>
    <font>
      <b/>
      <sz val="9"/>
      <color indexed="81"/>
      <name val="Tahoma"/>
      <family val="2"/>
    </font>
    <font>
      <sz val="9"/>
      <color indexed="81"/>
      <name val="Tahoma"/>
      <family val="2"/>
    </font>
    <font>
      <b/>
      <sz val="18"/>
      <color theme="1"/>
      <name val="Arial"/>
      <family val="2"/>
    </font>
    <font>
      <b/>
      <sz val="10"/>
      <color theme="1"/>
      <name val="Arial"/>
      <family val="2"/>
    </font>
    <font>
      <sz val="10"/>
      <color theme="1"/>
      <name val="Arial"/>
      <family val="2"/>
    </font>
    <font>
      <b/>
      <sz val="10"/>
      <name val="Arial"/>
      <family val="2"/>
    </font>
    <font>
      <b/>
      <sz val="10"/>
      <color rgb="FFFF0000"/>
      <name val="Arial"/>
      <family val="2"/>
    </font>
    <font>
      <sz val="10"/>
      <name val="Arial"/>
      <family val="2"/>
    </font>
    <font>
      <sz val="11"/>
      <name val="Arial"/>
      <family val="2"/>
    </font>
    <font>
      <b/>
      <sz val="11"/>
      <color theme="1"/>
      <name val="Arial"/>
      <family val="2"/>
    </font>
    <font>
      <b/>
      <sz val="11"/>
      <name val="Arial"/>
      <family val="2"/>
    </font>
    <font>
      <b/>
      <sz val="14"/>
      <color theme="1"/>
      <name val="Arial"/>
      <family val="2"/>
    </font>
    <font>
      <b/>
      <sz val="9"/>
      <color theme="1"/>
      <name val="Arial"/>
      <family val="2"/>
    </font>
    <font>
      <sz val="10"/>
      <color theme="1" tint="0.499984740745262"/>
      <name val="Arial"/>
      <family val="2"/>
    </font>
    <font>
      <sz val="10"/>
      <color theme="1"/>
      <name val="Calibri"/>
      <family val="2"/>
      <scheme val="minor"/>
    </font>
    <font>
      <b/>
      <sz val="10"/>
      <color theme="1"/>
      <name val="Calibri"/>
      <family val="2"/>
      <scheme val="minor"/>
    </font>
    <font>
      <strike/>
      <sz val="11"/>
      <color theme="1"/>
      <name val="Calibri"/>
      <family val="2"/>
      <scheme val="minor"/>
    </font>
    <font>
      <b/>
      <sz val="12"/>
      <color theme="1"/>
      <name val="Arial"/>
      <family val="2"/>
    </font>
    <font>
      <sz val="10"/>
      <color theme="1"/>
      <name val="Segoe UI Symbol"/>
      <family val="2"/>
    </font>
    <font>
      <sz val="9"/>
      <color theme="1"/>
      <name val="Arial"/>
      <family val="2"/>
    </font>
    <font>
      <sz val="4"/>
      <color theme="1"/>
      <name val="Arial"/>
      <family val="2"/>
    </font>
    <font>
      <sz val="10"/>
      <color theme="1"/>
      <name val="MS Gothic"/>
      <family val="3"/>
    </font>
    <font>
      <i/>
      <sz val="9"/>
      <color theme="1"/>
      <name val="Arial"/>
      <family val="2"/>
    </font>
    <font>
      <b/>
      <sz val="5"/>
      <color theme="1"/>
      <name val="Arial"/>
      <family val="2"/>
    </font>
    <font>
      <sz val="8"/>
      <color theme="1"/>
      <name val="Arial"/>
      <family val="2"/>
    </font>
    <font>
      <sz val="12"/>
      <color theme="1"/>
      <name val="Calibri"/>
      <family val="2"/>
      <scheme val="minor"/>
    </font>
    <font>
      <u/>
      <sz val="28"/>
      <color theme="1"/>
      <name val="Calibri"/>
      <family val="2"/>
      <scheme val="minor"/>
    </font>
    <font>
      <b/>
      <sz val="12"/>
      <color rgb="FFFF0000"/>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s>
  <fills count="20">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7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19545"/>
        <bgColor indexed="64"/>
      </patternFill>
    </fill>
    <fill>
      <patternFill patternType="solid">
        <fgColor rgb="FFF9D5BF"/>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rgb="FFFF7D7D"/>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auto="1"/>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auto="1"/>
      </right>
      <top style="double">
        <color indexed="64"/>
      </top>
      <bottom style="thin">
        <color indexed="64"/>
      </bottom>
      <diagonal/>
    </border>
    <border>
      <left style="medium">
        <color auto="1"/>
      </left>
      <right style="medium">
        <color auto="1"/>
      </right>
      <top/>
      <bottom style="thin">
        <color auto="1"/>
      </bottom>
      <diagonal/>
    </border>
    <border>
      <left/>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auto="1"/>
      </right>
      <top style="thin">
        <color auto="1"/>
      </top>
      <bottom style="thin">
        <color auto="1"/>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right style="thin">
        <color auto="1"/>
      </right>
      <top/>
      <bottom/>
      <diagonal/>
    </border>
    <border>
      <left style="thin">
        <color auto="1"/>
      </left>
      <right/>
      <top/>
      <bottom/>
      <diagonal/>
    </border>
    <border>
      <left/>
      <right style="medium">
        <color auto="1"/>
      </right>
      <top/>
      <bottom/>
      <diagonal/>
    </border>
    <border>
      <left style="thin">
        <color auto="1"/>
      </left>
      <right style="thin">
        <color auto="1"/>
      </right>
      <top/>
      <bottom/>
      <diagonal/>
    </border>
    <border>
      <left style="thin">
        <color auto="1"/>
      </left>
      <right/>
      <top/>
      <bottom style="medium">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auto="1"/>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style="medium">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style="medium">
        <color auto="1"/>
      </right>
      <top style="double">
        <color indexed="64"/>
      </top>
      <bottom style="medium">
        <color auto="1"/>
      </bottom>
      <diagonal/>
    </border>
    <border>
      <left style="medium">
        <color auto="1"/>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auto="1"/>
      </right>
      <top/>
      <bottom style="medium">
        <color auto="1"/>
      </bottom>
      <diagonal/>
    </border>
    <border>
      <left/>
      <right style="thin">
        <color auto="1"/>
      </right>
      <top/>
      <bottom style="medium">
        <color indexed="64"/>
      </bottom>
      <diagonal/>
    </border>
    <border>
      <left style="thin">
        <color indexed="64"/>
      </left>
      <right style="thin">
        <color indexed="64"/>
      </right>
      <top style="double">
        <color indexed="64"/>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medium">
        <color auto="1"/>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auto="1"/>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auto="1"/>
      </bottom>
      <diagonal/>
    </border>
    <border>
      <left style="thin">
        <color indexed="64"/>
      </left>
      <right style="medium">
        <color auto="1"/>
      </right>
      <top/>
      <bottom style="thin">
        <color indexed="64"/>
      </bottom>
      <diagonal/>
    </border>
    <border>
      <left style="thin">
        <color indexed="64"/>
      </left>
      <right style="medium">
        <color auto="1"/>
      </right>
      <top style="medium">
        <color indexed="64"/>
      </top>
      <bottom style="thin">
        <color indexed="64"/>
      </bottom>
      <diagonal/>
    </border>
    <border>
      <left style="thin">
        <color indexed="64"/>
      </left>
      <right style="medium">
        <color auto="1"/>
      </right>
      <top style="medium">
        <color auto="1"/>
      </top>
      <bottom/>
      <diagonal/>
    </border>
    <border>
      <left style="thin">
        <color indexed="64"/>
      </left>
      <right style="medium">
        <color auto="1"/>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auto="1"/>
      </top>
      <bottom style="medium">
        <color indexed="64"/>
      </bottom>
      <diagonal/>
    </border>
    <border>
      <left style="medium">
        <color auto="1"/>
      </left>
      <right/>
      <top style="thin">
        <color auto="1"/>
      </top>
      <bottom/>
      <diagonal/>
    </border>
    <border>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right style="medium">
        <color indexed="64"/>
      </right>
      <top/>
      <bottom style="double">
        <color indexed="64"/>
      </bottom>
      <diagonal/>
    </border>
    <border>
      <left/>
      <right/>
      <top/>
      <bottom style="thin">
        <color theme="2"/>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6" borderId="0" applyNumberFormat="0" applyBorder="0" applyAlignment="0" applyProtection="0"/>
    <xf numFmtId="164" fontId="1" fillId="0" borderId="0" applyFont="0" applyFill="0" applyBorder="0" applyAlignment="0" applyProtection="0"/>
  </cellStyleXfs>
  <cellXfs count="578">
    <xf numFmtId="0" fontId="0" fillId="0" borderId="0" xfId="0"/>
    <xf numFmtId="0" fontId="0" fillId="0" borderId="1" xfId="0" applyBorder="1"/>
    <xf numFmtId="0" fontId="0" fillId="0" borderId="2" xfId="0" applyBorder="1"/>
    <xf numFmtId="9" fontId="0" fillId="0" borderId="1" xfId="0" applyNumberFormat="1" applyBorder="1"/>
    <xf numFmtId="0" fontId="0" fillId="0" borderId="1" xfId="0" applyBorder="1" applyAlignment="1">
      <alignment horizontal="center"/>
    </xf>
    <xf numFmtId="44" fontId="0" fillId="0" borderId="1" xfId="1" applyFont="1" applyBorder="1"/>
    <xf numFmtId="44" fontId="0" fillId="0" borderId="0" xfId="1" applyFont="1"/>
    <xf numFmtId="0" fontId="0" fillId="2" borderId="1" xfId="0" applyFill="1" applyBorder="1"/>
    <xf numFmtId="9" fontId="0" fillId="0" borderId="0" xfId="0" applyNumberFormat="1"/>
    <xf numFmtId="44" fontId="0" fillId="0" borderId="0" xfId="0" applyNumberFormat="1"/>
    <xf numFmtId="0" fontId="0" fillId="0" borderId="2" xfId="0" applyBorder="1" applyAlignment="1">
      <alignment horizontal="center"/>
    </xf>
    <xf numFmtId="0" fontId="0" fillId="2" borderId="0" xfId="0" applyFill="1"/>
    <xf numFmtId="44" fontId="0" fillId="0" borderId="1" xfId="0" applyNumberFormat="1" applyBorder="1"/>
    <xf numFmtId="6" fontId="0" fillId="0" borderId="0" xfId="0" applyNumberFormat="1"/>
    <xf numFmtId="0" fontId="2" fillId="0" borderId="0" xfId="0" applyFont="1"/>
    <xf numFmtId="44" fontId="2" fillId="0" borderId="0" xfId="1" applyFont="1"/>
    <xf numFmtId="0" fontId="0" fillId="3" borderId="1" xfId="0" applyFill="1" applyBorder="1"/>
    <xf numFmtId="44" fontId="0" fillId="3" borderId="0" xfId="0" applyNumberFormat="1" applyFill="1"/>
    <xf numFmtId="0" fontId="0" fillId="3" borderId="0" xfId="0" applyFill="1"/>
    <xf numFmtId="0" fontId="0" fillId="4" borderId="1" xfId="0" applyFill="1" applyBorder="1"/>
    <xf numFmtId="9" fontId="0" fillId="5" borderId="1" xfId="0" applyNumberFormat="1" applyFill="1" applyBorder="1"/>
    <xf numFmtId="9" fontId="0" fillId="0" borderId="0" xfId="2" applyFont="1"/>
    <xf numFmtId="166" fontId="0" fillId="0" borderId="0" xfId="0" applyNumberFormat="1"/>
    <xf numFmtId="166" fontId="0" fillId="0" borderId="0" xfId="2" applyNumberFormat="1" applyFont="1"/>
    <xf numFmtId="167" fontId="0" fillId="0" borderId="0" xfId="0" applyNumberFormat="1"/>
    <xf numFmtId="168" fontId="0" fillId="0" borderId="0" xfId="0" applyNumberFormat="1"/>
    <xf numFmtId="169" fontId="0" fillId="0" borderId="0" xfId="2" applyNumberFormat="1" applyFont="1"/>
    <xf numFmtId="169" fontId="0" fillId="0" borderId="0" xfId="0" applyNumberFormat="1"/>
    <xf numFmtId="0" fontId="0" fillId="7" borderId="4" xfId="0" applyFont="1" applyFill="1" applyBorder="1" applyAlignment="1">
      <alignment horizontal="left" vertical="center"/>
    </xf>
    <xf numFmtId="0" fontId="4" fillId="8" borderId="5" xfId="0" applyFont="1" applyFill="1" applyBorder="1" applyAlignment="1">
      <alignment horizontal="left" vertical="center"/>
    </xf>
    <xf numFmtId="0" fontId="0" fillId="7" borderId="0" xfId="0" applyFont="1" applyFill="1" applyBorder="1" applyAlignment="1">
      <alignment horizontal="left" vertical="center"/>
    </xf>
    <xf numFmtId="0" fontId="0" fillId="9" borderId="7" xfId="0" applyFill="1" applyBorder="1"/>
    <xf numFmtId="0" fontId="4" fillId="0" borderId="0" xfId="0" applyFont="1"/>
    <xf numFmtId="1" fontId="0" fillId="0" borderId="0" xfId="0" applyNumberFormat="1"/>
    <xf numFmtId="0" fontId="0" fillId="7" borderId="9" xfId="0" applyFont="1" applyFill="1" applyBorder="1" applyAlignment="1">
      <alignment horizontal="right" vertical="center"/>
    </xf>
    <xf numFmtId="44" fontId="0" fillId="7" borderId="4" xfId="1" applyFont="1" applyFill="1" applyBorder="1" applyAlignment="1">
      <alignment horizontal="left" vertical="center"/>
    </xf>
    <xf numFmtId="44" fontId="4" fillId="8" borderId="5" xfId="1" applyFont="1" applyFill="1" applyBorder="1" applyAlignment="1">
      <alignment horizontal="left" vertical="center"/>
    </xf>
    <xf numFmtId="44" fontId="0" fillId="7" borderId="0" xfId="1" applyFont="1" applyFill="1" applyBorder="1" applyAlignment="1">
      <alignment horizontal="right" vertical="center"/>
    </xf>
    <xf numFmtId="44" fontId="0" fillId="9" borderId="8" xfId="1" applyFont="1" applyFill="1" applyBorder="1"/>
    <xf numFmtId="44" fontId="0" fillId="0" borderId="8" xfId="1" applyFont="1" applyBorder="1"/>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9" fillId="0" borderId="0" xfId="0" applyFont="1" applyProtection="1"/>
    <xf numFmtId="0" fontId="14" fillId="0" borderId="25" xfId="0" applyFont="1" applyBorder="1" applyAlignment="1" applyProtection="1">
      <alignment vertical="center"/>
    </xf>
    <xf numFmtId="0" fontId="14" fillId="0" borderId="26" xfId="0" applyFont="1" applyBorder="1" applyAlignment="1" applyProtection="1">
      <alignment vertical="center"/>
    </xf>
    <xf numFmtId="0" fontId="14" fillId="0" borderId="0" xfId="0" applyFont="1" applyAlignment="1" applyProtection="1">
      <alignment vertical="center"/>
    </xf>
    <xf numFmtId="0" fontId="8" fillId="10" borderId="38" xfId="0" applyFont="1" applyFill="1" applyBorder="1" applyAlignment="1" applyProtection="1">
      <alignment horizontal="center" vertical="center" wrapText="1"/>
    </xf>
    <xf numFmtId="0" fontId="8" fillId="10" borderId="37" xfId="0" applyFont="1" applyFill="1" applyBorder="1" applyAlignment="1" applyProtection="1">
      <alignment horizontal="center" vertical="center" wrapText="1"/>
    </xf>
    <xf numFmtId="0" fontId="17" fillId="10" borderId="38" xfId="0" applyFont="1" applyFill="1" applyBorder="1" applyAlignment="1" applyProtection="1">
      <alignment horizontal="center" vertical="center" wrapText="1"/>
    </xf>
    <xf numFmtId="0" fontId="17" fillId="10" borderId="39" xfId="0" applyFont="1" applyFill="1" applyBorder="1" applyAlignment="1" applyProtection="1">
      <alignment horizontal="center" vertical="center" wrapText="1"/>
    </xf>
    <xf numFmtId="0" fontId="8" fillId="10" borderId="9" xfId="0" applyFont="1" applyFill="1" applyBorder="1" applyAlignment="1" applyProtection="1">
      <alignment horizontal="center" vertical="center" wrapText="1"/>
    </xf>
    <xf numFmtId="0" fontId="14" fillId="0" borderId="35" xfId="0" applyFont="1" applyBorder="1" applyAlignment="1" applyProtection="1">
      <alignment vertical="center" wrapText="1"/>
    </xf>
    <xf numFmtId="0" fontId="9" fillId="10" borderId="40" xfId="0" applyFont="1" applyFill="1" applyBorder="1" applyAlignment="1" applyProtection="1">
      <alignment horizontal="center" vertical="center" wrapText="1"/>
    </xf>
    <xf numFmtId="0" fontId="9" fillId="10" borderId="41" xfId="0" applyFont="1" applyFill="1" applyBorder="1" applyAlignment="1" applyProtection="1">
      <alignment horizontal="center" vertical="center" wrapText="1"/>
    </xf>
    <xf numFmtId="0" fontId="9" fillId="10" borderId="36" xfId="0" applyFont="1" applyFill="1" applyBorder="1" applyAlignment="1" applyProtection="1">
      <alignment horizontal="center" vertical="center" wrapText="1"/>
    </xf>
    <xf numFmtId="0" fontId="9" fillId="10" borderId="27" xfId="0" applyFont="1" applyFill="1" applyBorder="1" applyAlignment="1" applyProtection="1">
      <alignment horizontal="center" vertical="center" wrapText="1"/>
    </xf>
    <xf numFmtId="0" fontId="8" fillId="10" borderId="42" xfId="0" applyFont="1" applyFill="1" applyBorder="1" applyAlignment="1" applyProtection="1">
      <alignment horizontal="left" vertical="center" wrapText="1"/>
    </xf>
    <xf numFmtId="171" fontId="8" fillId="10" borderId="43" xfId="1" applyNumberFormat="1" applyFont="1" applyFill="1" applyBorder="1" applyAlignment="1" applyProtection="1">
      <alignment horizontal="right" vertical="center"/>
    </xf>
    <xf numFmtId="165" fontId="8" fillId="10" borderId="43" xfId="2" applyNumberFormat="1" applyFont="1" applyFill="1" applyBorder="1" applyAlignment="1" applyProtection="1">
      <alignment horizontal="right" vertical="center"/>
    </xf>
    <xf numFmtId="171" fontId="8" fillId="10" borderId="44" xfId="0" applyNumberFormat="1" applyFont="1" applyFill="1" applyBorder="1" applyAlignment="1" applyProtection="1">
      <alignment horizontal="right" vertical="center"/>
    </xf>
    <xf numFmtId="171" fontId="8" fillId="10" borderId="8" xfId="0" applyNumberFormat="1" applyFont="1" applyFill="1" applyBorder="1" applyAlignment="1" applyProtection="1">
      <alignment horizontal="right" vertical="center"/>
    </xf>
    <xf numFmtId="171" fontId="8" fillId="10" borderId="5" xfId="0" applyNumberFormat="1" applyFont="1" applyFill="1" applyBorder="1" applyAlignment="1" applyProtection="1">
      <alignment horizontal="right" vertical="center"/>
    </xf>
    <xf numFmtId="0" fontId="9" fillId="11" borderId="1" xfId="0" applyNumberFormat="1" applyFont="1" applyFill="1" applyBorder="1" applyAlignment="1" applyProtection="1">
      <alignment horizontal="left" vertical="center" wrapText="1"/>
    </xf>
    <xf numFmtId="171" fontId="9" fillId="0" borderId="1" xfId="4" applyNumberFormat="1" applyFont="1" applyFill="1" applyBorder="1" applyAlignment="1" applyProtection="1">
      <alignment horizontal="right" vertical="center"/>
      <protection locked="0"/>
    </xf>
    <xf numFmtId="165" fontId="9" fillId="11" borderId="1" xfId="2" applyNumberFormat="1" applyFont="1" applyFill="1" applyBorder="1" applyAlignment="1" applyProtection="1">
      <alignment horizontal="right" vertical="center"/>
    </xf>
    <xf numFmtId="171" fontId="9" fillId="11" borderId="45" xfId="1" applyNumberFormat="1" applyFont="1" applyFill="1" applyBorder="1" applyAlignment="1" applyProtection="1">
      <alignment horizontal="right" vertical="center"/>
    </xf>
    <xf numFmtId="171" fontId="9" fillId="11" borderId="46" xfId="1" applyNumberFormat="1" applyFont="1" applyFill="1" applyBorder="1" applyAlignment="1" applyProtection="1">
      <alignment horizontal="right" vertical="center"/>
    </xf>
    <xf numFmtId="171" fontId="8" fillId="11" borderId="23" xfId="1" applyNumberFormat="1" applyFont="1" applyFill="1" applyBorder="1" applyAlignment="1" applyProtection="1">
      <alignment horizontal="right" vertical="center"/>
    </xf>
    <xf numFmtId="171" fontId="9" fillId="11" borderId="11" xfId="1" applyNumberFormat="1" applyFont="1" applyFill="1" applyBorder="1" applyAlignment="1" applyProtection="1">
      <alignment horizontal="right" vertical="center"/>
    </xf>
    <xf numFmtId="171" fontId="9" fillId="11" borderId="28" xfId="1" applyNumberFormat="1" applyFont="1" applyFill="1" applyBorder="1" applyAlignment="1" applyProtection="1">
      <alignment horizontal="right" vertical="center"/>
    </xf>
    <xf numFmtId="0" fontId="9" fillId="11" borderId="15" xfId="0" applyNumberFormat="1" applyFont="1" applyFill="1" applyBorder="1" applyAlignment="1" applyProtection="1">
      <alignment horizontal="left" vertical="center" wrapText="1"/>
    </xf>
    <xf numFmtId="171" fontId="9" fillId="0" borderId="15" xfId="4" applyNumberFormat="1" applyFont="1" applyFill="1" applyBorder="1" applyAlignment="1" applyProtection="1">
      <alignment horizontal="right" vertical="center"/>
      <protection locked="0"/>
    </xf>
    <xf numFmtId="165" fontId="9" fillId="11" borderId="15" xfId="2" applyNumberFormat="1" applyFont="1" applyFill="1" applyBorder="1" applyAlignment="1" applyProtection="1">
      <alignment horizontal="right" vertical="center"/>
    </xf>
    <xf numFmtId="171" fontId="9" fillId="11" borderId="16" xfId="1" applyNumberFormat="1" applyFont="1" applyFill="1" applyBorder="1" applyAlignment="1" applyProtection="1">
      <alignment horizontal="right" vertical="center"/>
    </xf>
    <xf numFmtId="171" fontId="9" fillId="11" borderId="47" xfId="1" applyNumberFormat="1" applyFont="1" applyFill="1" applyBorder="1" applyAlignment="1" applyProtection="1">
      <alignment horizontal="right" vertical="center"/>
    </xf>
    <xf numFmtId="171" fontId="8" fillId="11" borderId="18" xfId="1" applyNumberFormat="1" applyFont="1" applyFill="1" applyBorder="1" applyAlignment="1" applyProtection="1">
      <alignment horizontal="right" vertical="center"/>
    </xf>
    <xf numFmtId="0" fontId="8" fillId="10" borderId="3" xfId="0" applyFont="1" applyFill="1" applyBorder="1" applyAlignment="1" applyProtection="1">
      <alignment horizontal="left" vertical="center" wrapText="1"/>
    </xf>
    <xf numFmtId="171" fontId="18" fillId="13" borderId="1" xfId="0" applyNumberFormat="1" applyFont="1" applyFill="1" applyBorder="1" applyAlignment="1" applyProtection="1">
      <alignment horizontal="center" vertical="center"/>
    </xf>
    <xf numFmtId="171" fontId="18" fillId="13" borderId="19" xfId="0" applyNumberFormat="1" applyFont="1" applyFill="1" applyBorder="1" applyAlignment="1" applyProtection="1">
      <alignment horizontal="center" vertical="center"/>
    </xf>
    <xf numFmtId="171" fontId="18" fillId="13" borderId="22"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wrapText="1"/>
    </xf>
    <xf numFmtId="171" fontId="12" fillId="0" borderId="0" xfId="1" applyNumberFormat="1" applyFont="1" applyFill="1" applyBorder="1" applyAlignment="1" applyProtection="1">
      <alignment horizontal="left" vertical="center"/>
    </xf>
    <xf numFmtId="165" fontId="18" fillId="0" borderId="0" xfId="0" applyNumberFormat="1" applyFont="1" applyAlignment="1" applyProtection="1">
      <alignment vertical="center"/>
    </xf>
    <xf numFmtId="0" fontId="18" fillId="0" borderId="0" xfId="0" applyFont="1" applyAlignment="1" applyProtection="1">
      <alignment vertical="center"/>
    </xf>
    <xf numFmtId="0" fontId="9" fillId="0" borderId="25" xfId="0" applyFont="1" applyBorder="1" applyAlignment="1" applyProtection="1">
      <alignment vertical="center"/>
    </xf>
    <xf numFmtId="0" fontId="9" fillId="0" borderId="26" xfId="0" applyFont="1" applyBorder="1" applyAlignment="1" applyProtection="1">
      <alignment vertical="center"/>
    </xf>
    <xf numFmtId="0" fontId="9" fillId="0" borderId="0" xfId="0" applyFont="1" applyAlignment="1" applyProtection="1">
      <alignment vertical="center"/>
    </xf>
    <xf numFmtId="0" fontId="14" fillId="0" borderId="0" xfId="0" applyFont="1" applyAlignment="1" applyProtection="1">
      <alignment horizontal="left" vertical="center"/>
    </xf>
    <xf numFmtId="0" fontId="9" fillId="10" borderId="25" xfId="0" applyFont="1" applyFill="1" applyBorder="1" applyAlignment="1" applyProtection="1">
      <alignment horizontal="center" vertical="center" wrapText="1"/>
    </xf>
    <xf numFmtId="0" fontId="9" fillId="10" borderId="49" xfId="0" applyFont="1" applyFill="1" applyBorder="1" applyAlignment="1" applyProtection="1">
      <alignment horizontal="center" vertical="center" wrapText="1"/>
    </xf>
    <xf numFmtId="0" fontId="8" fillId="10" borderId="27" xfId="0" applyFont="1" applyFill="1" applyBorder="1" applyAlignment="1" applyProtection="1">
      <alignment horizontal="center" vertical="center" wrapText="1"/>
    </xf>
    <xf numFmtId="0" fontId="12" fillId="11" borderId="1" xfId="0" applyFont="1" applyFill="1" applyBorder="1" applyAlignment="1" applyProtection="1">
      <alignment horizontal="left" vertical="center" wrapText="1"/>
    </xf>
    <xf numFmtId="171" fontId="9" fillId="11" borderId="1" xfId="1" applyNumberFormat="1" applyFont="1" applyFill="1" applyBorder="1" applyAlignment="1" applyProtection="1">
      <alignment horizontal="right" vertical="center"/>
    </xf>
    <xf numFmtId="44" fontId="9" fillId="11" borderId="1" xfId="1" applyFont="1" applyFill="1" applyBorder="1" applyAlignment="1" applyProtection="1">
      <alignment horizontal="right" vertical="center"/>
    </xf>
    <xf numFmtId="171" fontId="8" fillId="11" borderId="14" xfId="1" applyNumberFormat="1" applyFont="1" applyFill="1" applyBorder="1" applyAlignment="1" applyProtection="1">
      <alignment horizontal="right" vertical="center"/>
    </xf>
    <xf numFmtId="171" fontId="9" fillId="11" borderId="1" xfId="1" applyNumberFormat="1" applyFont="1" applyFill="1" applyBorder="1" applyAlignment="1" applyProtection="1">
      <alignment horizontal="right" vertical="center"/>
      <protection locked="0"/>
    </xf>
    <xf numFmtId="171" fontId="9" fillId="11" borderId="11" xfId="1" applyNumberFormat="1" applyFont="1" applyFill="1" applyBorder="1" applyAlignment="1" applyProtection="1">
      <alignment horizontal="center" vertical="center"/>
    </xf>
    <xf numFmtId="171" fontId="9" fillId="11" borderId="28" xfId="1" applyNumberFormat="1" applyFont="1" applyFill="1" applyBorder="1" applyAlignment="1" applyProtection="1">
      <alignment horizontal="center" vertical="center"/>
    </xf>
    <xf numFmtId="0" fontId="8" fillId="10" borderId="3" xfId="0" applyFont="1" applyFill="1" applyBorder="1" applyAlignment="1" applyProtection="1">
      <alignment vertical="center" wrapText="1"/>
    </xf>
    <xf numFmtId="171" fontId="8" fillId="10" borderId="3" xfId="0" applyNumberFormat="1" applyFont="1" applyFill="1" applyBorder="1" applyAlignment="1" applyProtection="1">
      <alignment horizontal="right" vertical="center"/>
    </xf>
    <xf numFmtId="165" fontId="8" fillId="10" borderId="3" xfId="2" applyNumberFormat="1" applyFont="1" applyFill="1" applyBorder="1" applyAlignment="1" applyProtection="1">
      <alignment horizontal="right" vertical="center"/>
    </xf>
    <xf numFmtId="44" fontId="8" fillId="10" borderId="3" xfId="1" applyFont="1" applyFill="1" applyBorder="1" applyAlignment="1" applyProtection="1">
      <alignment horizontal="right" vertical="center"/>
    </xf>
    <xf numFmtId="171" fontId="8" fillId="10" borderId="19" xfId="1" quotePrefix="1" applyNumberFormat="1" applyFont="1" applyFill="1" applyBorder="1" applyAlignment="1" applyProtection="1">
      <alignment horizontal="right" vertical="center"/>
    </xf>
    <xf numFmtId="171" fontId="8" fillId="10" borderId="22" xfId="1" quotePrefix="1" applyNumberFormat="1" applyFont="1" applyFill="1" applyBorder="1" applyAlignment="1" applyProtection="1">
      <alignment horizontal="right" vertical="center"/>
    </xf>
    <xf numFmtId="171" fontId="8" fillId="10" borderId="27" xfId="1" quotePrefix="1" applyNumberFormat="1" applyFont="1" applyFill="1" applyBorder="1" applyAlignment="1" applyProtection="1">
      <alignment horizontal="right" vertical="center"/>
    </xf>
    <xf numFmtId="0" fontId="8" fillId="10" borderId="2" xfId="0" applyFont="1" applyFill="1" applyBorder="1" applyAlignment="1" applyProtection="1">
      <alignment horizontal="center" vertical="center" wrapText="1"/>
    </xf>
    <xf numFmtId="0" fontId="8" fillId="10" borderId="50" xfId="0" applyFont="1" applyFill="1" applyBorder="1" applyAlignment="1" applyProtection="1">
      <alignment horizontal="center" vertical="center" wrapText="1"/>
    </xf>
    <xf numFmtId="0" fontId="8" fillId="10" borderId="51" xfId="0" applyFont="1" applyFill="1" applyBorder="1" applyAlignment="1" applyProtection="1">
      <alignment horizontal="center" vertical="center" wrapText="1"/>
    </xf>
    <xf numFmtId="0" fontId="8" fillId="10" borderId="52" xfId="0" applyFont="1" applyFill="1" applyBorder="1" applyAlignment="1" applyProtection="1">
      <alignment horizontal="center" vertical="center" wrapText="1"/>
    </xf>
    <xf numFmtId="171" fontId="9" fillId="11" borderId="25" xfId="1" applyNumberFormat="1" applyFont="1" applyFill="1" applyBorder="1" applyAlignment="1" applyProtection="1">
      <alignment horizontal="center" vertical="center"/>
    </xf>
    <xf numFmtId="171" fontId="9" fillId="11" borderId="49" xfId="1" applyNumberFormat="1" applyFont="1" applyFill="1" applyBorder="1" applyAlignment="1" applyProtection="1">
      <alignment horizontal="center" vertical="center"/>
    </xf>
    <xf numFmtId="171" fontId="18" fillId="13" borderId="53" xfId="0" applyNumberFormat="1" applyFont="1" applyFill="1" applyBorder="1" applyAlignment="1" applyProtection="1">
      <alignment vertical="center"/>
    </xf>
    <xf numFmtId="0" fontId="12" fillId="11" borderId="3" xfId="0" applyFont="1" applyFill="1" applyBorder="1" applyAlignment="1" applyProtection="1">
      <alignment horizontal="left" vertical="center" wrapText="1"/>
    </xf>
    <xf numFmtId="171" fontId="9" fillId="11" borderId="3" xfId="1" applyNumberFormat="1" applyFont="1" applyFill="1" applyBorder="1" applyAlignment="1" applyProtection="1">
      <alignment horizontal="right" vertical="center"/>
      <protection locked="0"/>
    </xf>
    <xf numFmtId="165" fontId="9" fillId="11" borderId="3" xfId="2" applyNumberFormat="1" applyFont="1" applyFill="1" applyBorder="1" applyAlignment="1" applyProtection="1">
      <alignment horizontal="right" vertical="center"/>
    </xf>
    <xf numFmtId="44" fontId="9" fillId="11" borderId="3" xfId="1" applyFont="1" applyFill="1" applyBorder="1" applyAlignment="1" applyProtection="1">
      <alignment horizontal="right" vertical="center"/>
    </xf>
    <xf numFmtId="171" fontId="8" fillId="11" borderId="54" xfId="1" applyNumberFormat="1" applyFont="1" applyFill="1" applyBorder="1" applyAlignment="1" applyProtection="1">
      <alignment horizontal="right" vertical="center"/>
    </xf>
    <xf numFmtId="0" fontId="0" fillId="0" borderId="1" xfId="0" quotePrefix="1" applyBorder="1"/>
    <xf numFmtId="0" fontId="0" fillId="0" borderId="3" xfId="0" quotePrefix="1" applyBorder="1"/>
    <xf numFmtId="0" fontId="0" fillId="0" borderId="3" xfId="0" applyBorder="1"/>
    <xf numFmtId="0" fontId="0" fillId="0" borderId="42" xfId="0" applyBorder="1"/>
    <xf numFmtId="0" fontId="0" fillId="0" borderId="43" xfId="0" applyBorder="1"/>
    <xf numFmtId="0" fontId="0" fillId="0" borderId="56" xfId="0" applyBorder="1"/>
    <xf numFmtId="0" fontId="0" fillId="0" borderId="44" xfId="0" applyBorder="1"/>
    <xf numFmtId="0" fontId="0" fillId="0" borderId="25" xfId="0" applyBorder="1"/>
    <xf numFmtId="0" fontId="0" fillId="0" borderId="11" xfId="0" applyBorder="1"/>
    <xf numFmtId="0" fontId="0" fillId="0" borderId="1" xfId="0" applyFill="1" applyBorder="1"/>
    <xf numFmtId="0" fontId="0" fillId="0" borderId="3" xfId="0" applyFill="1" applyBorder="1"/>
    <xf numFmtId="0" fontId="19" fillId="0" borderId="0" xfId="0" applyFont="1"/>
    <xf numFmtId="0" fontId="20" fillId="0" borderId="1" xfId="0" applyFont="1" applyBorder="1" applyAlignment="1">
      <alignment horizontal="center"/>
    </xf>
    <xf numFmtId="0" fontId="19" fillId="13" borderId="1" xfId="2" applyNumberFormat="1" applyFont="1" applyFill="1" applyBorder="1" applyAlignment="1">
      <alignment horizontal="center"/>
    </xf>
    <xf numFmtId="49" fontId="19" fillId="0" borderId="1" xfId="0" applyNumberFormat="1" applyFont="1" applyBorder="1"/>
    <xf numFmtId="9" fontId="19" fillId="5" borderId="1" xfId="2" applyFont="1" applyFill="1" applyBorder="1" applyAlignment="1">
      <alignment horizontal="center"/>
    </xf>
    <xf numFmtId="0" fontId="19" fillId="12" borderId="1" xfId="0" applyNumberFormat="1" applyFont="1" applyFill="1" applyBorder="1"/>
    <xf numFmtId="9" fontId="19" fillId="13" borderId="1" xfId="2" applyFont="1" applyFill="1" applyBorder="1" applyAlignment="1">
      <alignment horizontal="center"/>
    </xf>
    <xf numFmtId="44" fontId="4" fillId="8" borderId="5" xfId="1" applyFont="1" applyFill="1" applyBorder="1" applyAlignment="1">
      <alignment horizontal="right" vertical="center"/>
    </xf>
    <xf numFmtId="44" fontId="0" fillId="9" borderId="36" xfId="1" applyFont="1" applyFill="1" applyBorder="1"/>
    <xf numFmtId="0" fontId="0" fillId="7" borderId="11" xfId="0" applyFont="1" applyFill="1" applyBorder="1" applyAlignment="1">
      <alignment horizontal="left" vertical="center"/>
    </xf>
    <xf numFmtId="44" fontId="0" fillId="7" borderId="1" xfId="1" applyFont="1" applyFill="1" applyBorder="1" applyAlignment="1">
      <alignment horizontal="right" vertical="center"/>
    </xf>
    <xf numFmtId="164" fontId="0" fillId="0" borderId="0" xfId="0" applyNumberFormat="1"/>
    <xf numFmtId="10" fontId="0" fillId="0" borderId="0" xfId="2" applyNumberFormat="1" applyFont="1"/>
    <xf numFmtId="0" fontId="20" fillId="0" borderId="1" xfId="0" applyFont="1" applyBorder="1" applyAlignment="1">
      <alignment horizontal="center"/>
    </xf>
    <xf numFmtId="0" fontId="0" fillId="0" borderId="0" xfId="0" applyBorder="1"/>
    <xf numFmtId="0" fontId="0" fillId="2" borderId="6" xfId="0" applyFill="1" applyBorder="1"/>
    <xf numFmtId="0" fontId="0" fillId="2" borderId="29" xfId="0" applyFill="1" applyBorder="1"/>
    <xf numFmtId="0" fontId="0" fillId="2" borderId="0" xfId="0" applyFill="1" applyBorder="1"/>
    <xf numFmtId="0" fontId="0" fillId="2" borderId="39" xfId="0" applyFill="1" applyBorder="1"/>
    <xf numFmtId="0" fontId="0" fillId="0" borderId="0" xfId="0" applyFill="1"/>
    <xf numFmtId="172" fontId="14" fillId="0" borderId="3" xfId="1" applyNumberFormat="1" applyFont="1" applyFill="1" applyBorder="1" applyAlignment="1" applyProtection="1">
      <alignment vertical="center" wrapText="1"/>
    </xf>
    <xf numFmtId="44" fontId="14" fillId="0" borderId="3" xfId="1" applyFont="1" applyFill="1" applyBorder="1" applyAlignment="1" applyProtection="1">
      <alignment vertical="center" wrapText="1"/>
    </xf>
    <xf numFmtId="44" fontId="14" fillId="0" borderId="1" xfId="1" applyFont="1" applyFill="1" applyBorder="1" applyAlignment="1" applyProtection="1">
      <alignment vertical="center" wrapText="1"/>
    </xf>
    <xf numFmtId="44" fontId="14" fillId="0" borderId="2" xfId="1" applyFont="1" applyFill="1" applyBorder="1" applyAlignment="1" applyProtection="1">
      <alignment vertical="center" wrapText="1"/>
    </xf>
    <xf numFmtId="171" fontId="14" fillId="0" borderId="62" xfId="0" applyNumberFormat="1" applyFont="1" applyFill="1" applyBorder="1" applyAlignment="1" applyProtection="1">
      <alignment vertical="center" wrapText="1"/>
    </xf>
    <xf numFmtId="0" fontId="21" fillId="2" borderId="0" xfId="0" applyFont="1" applyFill="1" applyBorder="1"/>
    <xf numFmtId="0" fontId="21" fillId="2" borderId="39" xfId="0" applyFont="1" applyFill="1" applyBorder="1"/>
    <xf numFmtId="0" fontId="9" fillId="0" borderId="0" xfId="0" applyFont="1" applyAlignment="1">
      <alignment vertical="center"/>
    </xf>
    <xf numFmtId="0" fontId="9" fillId="15" borderId="0" xfId="0" applyFont="1" applyFill="1" applyAlignment="1">
      <alignment vertical="center"/>
    </xf>
    <xf numFmtId="0" fontId="0" fillId="15" borderId="0" xfId="0" applyFill="1"/>
    <xf numFmtId="0" fontId="23" fillId="15" borderId="0" xfId="0" applyFont="1" applyFill="1" applyAlignment="1">
      <alignment horizontal="left" vertical="center" indent="4"/>
    </xf>
    <xf numFmtId="0" fontId="9" fillId="15" borderId="0" xfId="0" applyFont="1" applyFill="1" applyAlignment="1">
      <alignment horizontal="left" vertical="center" indent="4"/>
    </xf>
    <xf numFmtId="0" fontId="26" fillId="15" borderId="0" xfId="0" applyFont="1" applyFill="1" applyAlignment="1">
      <alignment horizontal="left" vertical="center" indent="4"/>
    </xf>
    <xf numFmtId="0" fontId="8" fillId="15" borderId="0" xfId="0" applyFont="1" applyFill="1" applyAlignment="1">
      <alignment vertical="center"/>
    </xf>
    <xf numFmtId="0" fontId="23" fillId="15" borderId="0" xfId="0" applyFont="1" applyFill="1" applyAlignment="1">
      <alignment vertical="center"/>
    </xf>
    <xf numFmtId="0" fontId="24" fillId="15" borderId="0" xfId="0" applyFont="1" applyFill="1" applyAlignment="1">
      <alignment vertical="center"/>
    </xf>
    <xf numFmtId="0" fontId="27" fillId="15" borderId="0" xfId="0" applyFont="1" applyFill="1" applyAlignment="1">
      <alignment vertical="center"/>
    </xf>
    <xf numFmtId="0" fontId="25" fillId="15" borderId="0" xfId="0" applyFont="1" applyFill="1" applyAlignment="1">
      <alignment vertical="center"/>
    </xf>
    <xf numFmtId="0" fontId="28" fillId="15" borderId="0" xfId="0" applyFont="1" applyFill="1" applyAlignment="1">
      <alignment vertical="center"/>
    </xf>
    <xf numFmtId="0" fontId="9" fillId="13" borderId="0" xfId="0" applyFont="1" applyFill="1" applyAlignment="1">
      <alignment vertical="center"/>
    </xf>
    <xf numFmtId="0" fontId="23" fillId="13" borderId="0" xfId="0" applyFont="1" applyFill="1" applyAlignment="1">
      <alignment vertical="center"/>
    </xf>
    <xf numFmtId="0" fontId="14" fillId="17" borderId="74" xfId="0" applyFont="1" applyFill="1" applyBorder="1" applyAlignment="1" applyProtection="1">
      <alignment vertical="center" wrapText="1"/>
    </xf>
    <xf numFmtId="0" fontId="4" fillId="16" borderId="49" xfId="0" applyFont="1" applyFill="1" applyBorder="1" applyAlignment="1">
      <alignment horizontal="center"/>
    </xf>
    <xf numFmtId="0" fontId="4" fillId="16" borderId="23" xfId="0" applyFont="1" applyFill="1" applyBorder="1" applyAlignment="1">
      <alignment horizontal="center"/>
    </xf>
    <xf numFmtId="0" fontId="0" fillId="18" borderId="31" xfId="0" applyFill="1" applyBorder="1" applyAlignment="1">
      <alignment horizontal="center"/>
    </xf>
    <xf numFmtId="0" fontId="0" fillId="18" borderId="55" xfId="0" applyFill="1" applyBorder="1" applyAlignment="1">
      <alignment horizontal="center"/>
    </xf>
    <xf numFmtId="0" fontId="0" fillId="18" borderId="33" xfId="0" applyFill="1" applyBorder="1" applyAlignment="1">
      <alignment horizontal="center"/>
    </xf>
    <xf numFmtId="0" fontId="4" fillId="14" borderId="30" xfId="0" applyFont="1" applyFill="1" applyBorder="1"/>
    <xf numFmtId="0" fontId="4" fillId="14" borderId="68" xfId="0" applyFont="1" applyFill="1" applyBorder="1"/>
    <xf numFmtId="0" fontId="4" fillId="14" borderId="32" xfId="0" applyFont="1" applyFill="1" applyBorder="1"/>
    <xf numFmtId="0" fontId="0" fillId="18" borderId="48" xfId="0" applyFill="1" applyBorder="1" applyAlignment="1">
      <alignment horizontal="center"/>
    </xf>
    <xf numFmtId="0" fontId="9" fillId="16" borderId="72" xfId="0" applyFont="1" applyFill="1" applyBorder="1" applyAlignment="1" applyProtection="1">
      <alignment horizontal="left" vertical="center"/>
    </xf>
    <xf numFmtId="0" fontId="9" fillId="16" borderId="30" xfId="0" quotePrefix="1" applyFont="1" applyFill="1" applyBorder="1" applyAlignment="1" applyProtection="1">
      <alignment horizontal="left" vertical="center"/>
    </xf>
    <xf numFmtId="0" fontId="9" fillId="16" borderId="30" xfId="0" applyFont="1" applyFill="1" applyBorder="1" applyAlignment="1" applyProtection="1">
      <alignment horizontal="left" vertical="center"/>
    </xf>
    <xf numFmtId="0" fontId="8" fillId="16" borderId="78" xfId="0" applyFont="1" applyFill="1" applyBorder="1" applyAlignment="1" applyProtection="1">
      <alignment horizontal="left" vertical="center"/>
    </xf>
    <xf numFmtId="0" fontId="8" fillId="16" borderId="72" xfId="0" applyFont="1" applyFill="1" applyBorder="1" applyAlignment="1" applyProtection="1">
      <alignment horizontal="left" vertical="center"/>
    </xf>
    <xf numFmtId="0" fontId="9" fillId="14" borderId="30" xfId="0" quotePrefix="1" applyFont="1" applyFill="1" applyBorder="1" applyAlignment="1" applyProtection="1">
      <alignment horizontal="left" vertical="center"/>
    </xf>
    <xf numFmtId="0" fontId="9" fillId="14" borderId="30" xfId="0" quotePrefix="1" applyFont="1" applyFill="1" applyBorder="1" applyAlignment="1" applyProtection="1">
      <alignment horizontal="left" vertical="center"/>
      <protection locked="0"/>
    </xf>
    <xf numFmtId="0" fontId="9" fillId="14" borderId="30" xfId="0" applyFont="1" applyFill="1" applyBorder="1" applyAlignment="1" applyProtection="1">
      <alignment horizontal="left" vertical="center"/>
    </xf>
    <xf numFmtId="0" fontId="9" fillId="14" borderId="30" xfId="0" applyFont="1" applyFill="1" applyBorder="1" applyAlignment="1" applyProtection="1">
      <alignment horizontal="left" vertical="center"/>
      <protection locked="0"/>
    </xf>
    <xf numFmtId="0" fontId="9" fillId="14" borderId="77" xfId="0" applyFont="1" applyFill="1" applyBorder="1" applyAlignment="1" applyProtection="1">
      <alignment horizontal="left" vertical="center"/>
      <protection locked="0"/>
    </xf>
    <xf numFmtId="0" fontId="11" fillId="14" borderId="30" xfId="0" applyFont="1" applyFill="1" applyBorder="1" applyAlignment="1" applyProtection="1">
      <alignment horizontal="left" vertical="center"/>
    </xf>
    <xf numFmtId="0" fontId="12" fillId="14" borderId="30" xfId="0" applyFont="1" applyFill="1" applyBorder="1" applyAlignment="1" applyProtection="1">
      <alignment horizontal="left" vertical="center"/>
    </xf>
    <xf numFmtId="0" fontId="9" fillId="18" borderId="69" xfId="0" applyFont="1" applyFill="1" applyBorder="1" applyAlignment="1" applyProtection="1">
      <alignment horizontal="left"/>
    </xf>
    <xf numFmtId="0" fontId="9" fillId="18" borderId="0" xfId="0" applyFont="1" applyFill="1" applyBorder="1" applyAlignment="1" applyProtection="1">
      <alignment horizontal="right"/>
    </xf>
    <xf numFmtId="0" fontId="9" fillId="18" borderId="39" xfId="0" applyFont="1" applyFill="1" applyBorder="1" applyAlignment="1" applyProtection="1">
      <alignment horizontal="right"/>
    </xf>
    <xf numFmtId="0" fontId="11" fillId="18" borderId="66" xfId="0" applyFont="1" applyFill="1" applyBorder="1" applyAlignment="1" applyProtection="1">
      <alignment vertical="center"/>
    </xf>
    <xf numFmtId="0" fontId="11" fillId="18" borderId="21" xfId="0" applyFont="1" applyFill="1" applyBorder="1" applyAlignment="1" applyProtection="1">
      <alignment vertical="center"/>
    </xf>
    <xf numFmtId="0" fontId="11" fillId="18" borderId="47" xfId="0" applyFont="1" applyFill="1" applyBorder="1" applyAlignment="1" applyProtection="1">
      <alignment vertical="center"/>
    </xf>
    <xf numFmtId="0" fontId="12" fillId="18" borderId="66" xfId="0" applyFont="1" applyFill="1" applyBorder="1" applyAlignment="1" applyProtection="1">
      <alignment horizontal="left"/>
    </xf>
    <xf numFmtId="0" fontId="12" fillId="18" borderId="21" xfId="0" applyFont="1" applyFill="1" applyBorder="1" applyAlignment="1" applyProtection="1">
      <alignment horizontal="right"/>
    </xf>
    <xf numFmtId="0" fontId="14" fillId="18" borderId="21" xfId="0" applyFont="1" applyFill="1" applyBorder="1" applyAlignment="1" applyProtection="1">
      <alignment horizontal="right" vertical="center"/>
    </xf>
    <xf numFmtId="0" fontId="12" fillId="18" borderId="47" xfId="0" applyFont="1" applyFill="1" applyBorder="1" applyAlignment="1" applyProtection="1">
      <alignment horizontal="right"/>
    </xf>
    <xf numFmtId="0" fontId="10" fillId="16" borderId="34" xfId="0" applyFont="1" applyFill="1" applyBorder="1" applyAlignment="1" applyProtection="1">
      <alignment horizontal="left"/>
    </xf>
    <xf numFmtId="0" fontId="10" fillId="16" borderId="79" xfId="0" applyFont="1" applyFill="1" applyBorder="1" applyAlignment="1" applyProtection="1">
      <alignment horizontal="right"/>
    </xf>
    <xf numFmtId="0" fontId="10" fillId="16" borderId="35" xfId="0" applyFont="1" applyFill="1" applyBorder="1" applyAlignment="1" applyProtection="1">
      <alignment horizontal="right"/>
    </xf>
    <xf numFmtId="0" fontId="10" fillId="16" borderId="65" xfId="0" applyFont="1" applyFill="1" applyBorder="1" applyAlignment="1" applyProtection="1"/>
    <xf numFmtId="0" fontId="10" fillId="16" borderId="24" xfId="0" applyFont="1" applyFill="1" applyBorder="1" applyAlignment="1" applyProtection="1"/>
    <xf numFmtId="0" fontId="8" fillId="16" borderId="42" xfId="0" applyFont="1" applyFill="1" applyBorder="1" applyAlignment="1" applyProtection="1">
      <alignment horizontal="center" vertical="center"/>
    </xf>
    <xf numFmtId="0" fontId="8" fillId="16" borderId="38" xfId="0" applyFont="1" applyFill="1" applyBorder="1" applyAlignment="1" applyProtection="1">
      <alignment horizontal="center" vertical="center" wrapText="1"/>
    </xf>
    <xf numFmtId="0" fontId="9" fillId="16" borderId="40" xfId="0" applyFont="1" applyFill="1" applyBorder="1" applyAlignment="1" applyProtection="1">
      <alignment horizontal="center" vertical="center" wrapText="1"/>
    </xf>
    <xf numFmtId="0" fontId="9" fillId="16" borderId="61" xfId="0" applyFont="1" applyFill="1" applyBorder="1" applyAlignment="1" applyProtection="1">
      <alignment horizontal="center" vertical="center" wrapText="1"/>
    </xf>
    <xf numFmtId="9" fontId="9" fillId="16" borderId="38" xfId="2" applyFont="1" applyFill="1" applyBorder="1" applyAlignment="1" applyProtection="1">
      <alignment horizontal="center" vertical="center" wrapText="1"/>
    </xf>
    <xf numFmtId="0" fontId="9" fillId="16" borderId="54" xfId="0" applyFont="1" applyFill="1" applyBorder="1" applyAlignment="1" applyProtection="1">
      <alignment horizontal="center" vertical="center" wrapText="1"/>
    </xf>
    <xf numFmtId="0" fontId="14" fillId="16" borderId="7" xfId="0" applyFont="1" applyFill="1" applyBorder="1" applyAlignment="1" applyProtection="1">
      <alignment vertical="center" wrapText="1"/>
    </xf>
    <xf numFmtId="171" fontId="14" fillId="16" borderId="43" xfId="0" applyNumberFormat="1" applyFont="1" applyFill="1" applyBorder="1" applyAlignment="1" applyProtection="1">
      <alignment vertical="center" wrapText="1"/>
    </xf>
    <xf numFmtId="165" fontId="14" fillId="16" borderId="43" xfId="2" applyNumberFormat="1" applyFont="1" applyFill="1" applyBorder="1" applyAlignment="1" applyProtection="1">
      <alignment vertical="center" wrapText="1"/>
    </xf>
    <xf numFmtId="172" fontId="14" fillId="16" borderId="43" xfId="1" applyNumberFormat="1" applyFont="1" applyFill="1" applyBorder="1" applyAlignment="1" applyProtection="1">
      <alignment horizontal="center" vertical="center" wrapText="1"/>
    </xf>
    <xf numFmtId="9" fontId="14" fillId="16" borderId="43" xfId="2" applyFont="1" applyFill="1" applyBorder="1" applyAlignment="1" applyProtection="1">
      <alignment vertical="center" wrapText="1"/>
    </xf>
    <xf numFmtId="9" fontId="8" fillId="16" borderId="44" xfId="2" applyFont="1" applyFill="1" applyBorder="1" applyAlignment="1" applyProtection="1">
      <alignment horizontal="center" vertical="center"/>
    </xf>
    <xf numFmtId="171" fontId="8" fillId="16" borderId="56" xfId="0" applyNumberFormat="1" applyFont="1" applyFill="1" applyBorder="1" applyAlignment="1" applyProtection="1">
      <alignment horizontal="right" vertical="center"/>
    </xf>
    <xf numFmtId="171" fontId="8" fillId="16" borderId="5" xfId="0" applyNumberFormat="1" applyFont="1" applyFill="1" applyBorder="1" applyAlignment="1" applyProtection="1">
      <alignment horizontal="right" vertical="center"/>
    </xf>
    <xf numFmtId="0" fontId="12" fillId="16" borderId="3" xfId="0" applyFont="1" applyFill="1" applyBorder="1" applyAlignment="1" applyProtection="1">
      <alignment horizontal="center" vertical="center" wrapText="1"/>
    </xf>
    <xf numFmtId="172" fontId="12" fillId="14" borderId="1" xfId="1" applyNumberFormat="1" applyFont="1" applyFill="1" applyBorder="1" applyAlignment="1" applyProtection="1">
      <alignment horizontal="left" vertical="center" wrapText="1"/>
    </xf>
    <xf numFmtId="165" fontId="12" fillId="14" borderId="1" xfId="2" applyNumberFormat="1" applyFont="1" applyFill="1" applyBorder="1" applyAlignment="1" applyProtection="1">
      <alignment horizontal="right" vertical="center" wrapText="1"/>
    </xf>
    <xf numFmtId="44" fontId="12" fillId="14" borderId="1" xfId="1" applyFont="1" applyFill="1" applyBorder="1" applyAlignment="1" applyProtection="1">
      <alignment horizontal="right" vertical="center" wrapText="1"/>
    </xf>
    <xf numFmtId="0" fontId="12" fillId="14" borderId="1" xfId="0" applyFont="1" applyFill="1" applyBorder="1" applyAlignment="1" applyProtection="1">
      <alignment horizontal="right" vertical="center" wrapText="1"/>
    </xf>
    <xf numFmtId="165" fontId="14" fillId="14" borderId="3" xfId="2" applyNumberFormat="1" applyFont="1" applyFill="1" applyBorder="1" applyAlignment="1" applyProtection="1">
      <alignment vertical="center" wrapText="1"/>
    </xf>
    <xf numFmtId="165" fontId="14" fillId="14" borderId="1" xfId="2" applyNumberFormat="1" applyFont="1" applyFill="1" applyBorder="1" applyAlignment="1" applyProtection="1">
      <alignment vertical="center" wrapText="1"/>
    </xf>
    <xf numFmtId="9" fontId="14" fillId="14" borderId="3" xfId="2" applyFont="1" applyFill="1" applyBorder="1" applyAlignment="1" applyProtection="1">
      <alignment vertical="center" wrapText="1"/>
    </xf>
    <xf numFmtId="9" fontId="14" fillId="14" borderId="1" xfId="2" applyFont="1" applyFill="1" applyBorder="1" applyAlignment="1" applyProtection="1">
      <alignment vertical="center" wrapText="1"/>
    </xf>
    <xf numFmtId="171" fontId="8" fillId="14" borderId="23" xfId="1" applyNumberFormat="1" applyFont="1" applyFill="1" applyBorder="1" applyAlignment="1" applyProtection="1">
      <alignment horizontal="right" vertical="center"/>
    </xf>
    <xf numFmtId="9" fontId="14" fillId="14" borderId="62" xfId="2" applyFont="1" applyFill="1" applyBorder="1" applyAlignment="1" applyProtection="1">
      <alignment vertical="center" wrapText="1"/>
    </xf>
    <xf numFmtId="9" fontId="12" fillId="14" borderId="1" xfId="2" applyFont="1" applyFill="1" applyBorder="1" applyAlignment="1" applyProtection="1">
      <alignment horizontal="right" vertical="center" wrapText="1"/>
    </xf>
    <xf numFmtId="0" fontId="0" fillId="14" borderId="30" xfId="0" applyFill="1" applyBorder="1"/>
    <xf numFmtId="0" fontId="0" fillId="14" borderId="32" xfId="0" applyFill="1" applyBorder="1"/>
    <xf numFmtId="172" fontId="0" fillId="18" borderId="1" xfId="1" applyNumberFormat="1" applyFont="1" applyFill="1" applyBorder="1"/>
    <xf numFmtId="172" fontId="0" fillId="18" borderId="1" xfId="0" applyNumberFormat="1" applyFill="1" applyBorder="1"/>
    <xf numFmtId="172" fontId="0" fillId="18" borderId="57" xfId="1" applyNumberFormat="1" applyFont="1" applyFill="1" applyBorder="1"/>
    <xf numFmtId="172" fontId="0" fillId="18" borderId="57" xfId="0" applyNumberFormat="1" applyFill="1" applyBorder="1"/>
    <xf numFmtId="0" fontId="4" fillId="14" borderId="45" xfId="0" applyFont="1" applyFill="1" applyBorder="1" applyAlignment="1">
      <alignment horizontal="center"/>
    </xf>
    <xf numFmtId="0" fontId="4" fillId="14" borderId="73" xfId="0" applyFont="1" applyFill="1" applyBorder="1" applyAlignment="1">
      <alignment horizontal="center"/>
    </xf>
    <xf numFmtId="165" fontId="0" fillId="18" borderId="1" xfId="0" applyNumberFormat="1" applyFont="1" applyFill="1" applyBorder="1"/>
    <xf numFmtId="0" fontId="4" fillId="14" borderId="4" xfId="0" applyFont="1" applyFill="1" applyBorder="1" applyAlignment="1">
      <alignment horizontal="center"/>
    </xf>
    <xf numFmtId="0" fontId="0" fillId="14" borderId="30" xfId="0" applyFont="1" applyFill="1" applyBorder="1"/>
    <xf numFmtId="0" fontId="4" fillId="14" borderId="82" xfId="0" applyFont="1" applyFill="1" applyBorder="1" applyAlignment="1">
      <alignment horizontal="center"/>
    </xf>
    <xf numFmtId="0" fontId="4" fillId="14" borderId="85" xfId="0" applyFont="1" applyFill="1" applyBorder="1" applyAlignment="1">
      <alignment horizontal="center"/>
    </xf>
    <xf numFmtId="49" fontId="19" fillId="0" borderId="0" xfId="0" applyNumberFormat="1" applyFont="1" applyFill="1" applyBorder="1"/>
    <xf numFmtId="0" fontId="14" fillId="14" borderId="72" xfId="0" applyNumberFormat="1" applyFont="1" applyFill="1" applyBorder="1" applyAlignment="1" applyProtection="1">
      <alignment vertical="center" wrapText="1"/>
    </xf>
    <xf numFmtId="0" fontId="14" fillId="16" borderId="78" xfId="0" applyFont="1" applyFill="1" applyBorder="1" applyAlignment="1" applyProtection="1">
      <alignment vertical="center" wrapText="1"/>
    </xf>
    <xf numFmtId="0" fontId="12" fillId="14" borderId="30" xfId="0" applyFont="1" applyFill="1" applyBorder="1" applyAlignment="1" applyProtection="1">
      <alignment horizontal="left" vertical="center" wrapText="1"/>
    </xf>
    <xf numFmtId="0" fontId="12" fillId="16" borderId="32" xfId="0" applyFont="1" applyFill="1" applyBorder="1" applyAlignment="1" applyProtection="1">
      <alignment horizontal="left" vertical="center" wrapText="1"/>
    </xf>
    <xf numFmtId="172" fontId="12" fillId="16" borderId="57" xfId="0" applyNumberFormat="1" applyFont="1" applyFill="1" applyBorder="1" applyAlignment="1" applyProtection="1">
      <alignment horizontal="left" vertical="center" wrapText="1"/>
    </xf>
    <xf numFmtId="165" fontId="12" fillId="16" borderId="57" xfId="0" applyNumberFormat="1" applyFont="1" applyFill="1" applyBorder="1" applyAlignment="1" applyProtection="1">
      <alignment horizontal="right" vertical="center" wrapText="1"/>
    </xf>
    <xf numFmtId="44" fontId="12" fillId="16" borderId="57" xfId="0" applyNumberFormat="1" applyFont="1" applyFill="1" applyBorder="1" applyAlignment="1" applyProtection="1">
      <alignment horizontal="right" vertical="center" wrapText="1"/>
    </xf>
    <xf numFmtId="9" fontId="12" fillId="16" borderId="57" xfId="2" applyFont="1" applyFill="1" applyBorder="1" applyAlignment="1" applyProtection="1">
      <alignment horizontal="right" vertical="center" wrapText="1"/>
    </xf>
    <xf numFmtId="0" fontId="8" fillId="16" borderId="50" xfId="0" applyFont="1" applyFill="1" applyBorder="1" applyAlignment="1" applyProtection="1">
      <alignment horizontal="center" vertical="center" wrapText="1"/>
    </xf>
    <xf numFmtId="0" fontId="12" fillId="16" borderId="25" xfId="0" applyFont="1" applyFill="1" applyBorder="1" applyAlignment="1" applyProtection="1">
      <alignment horizontal="center" vertical="center" wrapText="1"/>
    </xf>
    <xf numFmtId="172" fontId="12" fillId="14" borderId="11" xfId="0" applyNumberFormat="1" applyFont="1" applyFill="1" applyBorder="1" applyAlignment="1" applyProtection="1">
      <alignment horizontal="left" vertical="center" wrapText="1"/>
    </xf>
    <xf numFmtId="172" fontId="12" fillId="16" borderId="83" xfId="0" applyNumberFormat="1" applyFont="1" applyFill="1" applyBorder="1" applyAlignment="1" applyProtection="1">
      <alignment horizontal="left" vertical="center" wrapText="1"/>
    </xf>
    <xf numFmtId="171" fontId="8" fillId="14" borderId="54" xfId="1" applyNumberFormat="1" applyFont="1" applyFill="1" applyBorder="1" applyAlignment="1" applyProtection="1">
      <alignment horizontal="right" vertical="center"/>
    </xf>
    <xf numFmtId="0" fontId="9" fillId="7" borderId="69" xfId="0" applyNumberFormat="1" applyFont="1" applyFill="1" applyBorder="1" applyAlignment="1" applyProtection="1">
      <alignment horizontal="left" vertical="center" wrapText="1"/>
    </xf>
    <xf numFmtId="0" fontId="0" fillId="7" borderId="69" xfId="0" applyFill="1" applyBorder="1"/>
    <xf numFmtId="0" fontId="16" fillId="7" borderId="71" xfId="0" applyFont="1" applyFill="1" applyBorder="1" applyAlignment="1" applyProtection="1">
      <alignment vertical="top" wrapText="1"/>
    </xf>
    <xf numFmtId="0" fontId="14" fillId="7" borderId="69" xfId="0" applyFont="1" applyFill="1" applyBorder="1" applyAlignment="1" applyProtection="1">
      <alignment horizontal="left" vertical="center"/>
    </xf>
    <xf numFmtId="0" fontId="0" fillId="7" borderId="59" xfId="0" applyFill="1" applyBorder="1" applyAlignment="1"/>
    <xf numFmtId="0" fontId="9" fillId="7" borderId="0" xfId="0" applyFont="1" applyFill="1" applyBorder="1" applyAlignment="1" applyProtection="1">
      <alignment vertical="center"/>
    </xf>
    <xf numFmtId="165" fontId="18" fillId="7" borderId="0" xfId="0" applyNumberFormat="1" applyFont="1" applyFill="1" applyBorder="1" applyAlignment="1" applyProtection="1">
      <alignment vertical="center"/>
    </xf>
    <xf numFmtId="0" fontId="18" fillId="7" borderId="0" xfId="0" applyFont="1" applyFill="1" applyBorder="1" applyAlignment="1" applyProtection="1">
      <alignment vertical="center"/>
    </xf>
    <xf numFmtId="0" fontId="9" fillId="7" borderId="25" xfId="0" applyFont="1" applyFill="1" applyBorder="1" applyAlignment="1" applyProtection="1">
      <alignment vertical="center"/>
    </xf>
    <xf numFmtId="0" fontId="9" fillId="7" borderId="26" xfId="0" applyFont="1" applyFill="1" applyBorder="1" applyAlignment="1" applyProtection="1">
      <alignment vertical="center"/>
    </xf>
    <xf numFmtId="172" fontId="0" fillId="18" borderId="2" xfId="1" applyNumberFormat="1" applyFont="1" applyFill="1" applyBorder="1"/>
    <xf numFmtId="165" fontId="0" fillId="18" borderId="2" xfId="0" applyNumberFormat="1" applyFont="1" applyFill="1" applyBorder="1"/>
    <xf numFmtId="0" fontId="4" fillId="14" borderId="72" xfId="0" applyFont="1" applyFill="1" applyBorder="1"/>
    <xf numFmtId="0" fontId="0" fillId="18" borderId="84" xfId="0" applyFill="1" applyBorder="1" applyAlignment="1">
      <alignment horizontal="center"/>
    </xf>
    <xf numFmtId="49" fontId="20" fillId="0" borderId="5" xfId="0" applyNumberFormat="1" applyFont="1" applyFill="1" applyBorder="1"/>
    <xf numFmtId="49" fontId="19" fillId="0" borderId="0" xfId="0" applyNumberFormat="1" applyFont="1" applyBorder="1"/>
    <xf numFmtId="9" fontId="19" fillId="5" borderId="0" xfId="2" applyFont="1" applyFill="1" applyBorder="1" applyAlignment="1">
      <alignment horizontal="center"/>
    </xf>
    <xf numFmtId="0" fontId="4" fillId="16" borderId="4" xfId="0" applyFont="1" applyFill="1" applyBorder="1" applyAlignment="1">
      <alignment horizontal="center"/>
    </xf>
    <xf numFmtId="0" fontId="0" fillId="18" borderId="28" xfId="0" applyFill="1" applyBorder="1" applyAlignment="1">
      <alignment horizontal="center"/>
    </xf>
    <xf numFmtId="0" fontId="0" fillId="18" borderId="90" xfId="0" applyFill="1" applyBorder="1" applyAlignment="1">
      <alignment horizontal="center"/>
    </xf>
    <xf numFmtId="0" fontId="4" fillId="16" borderId="13" xfId="0" applyFont="1" applyFill="1" applyBorder="1" applyAlignment="1">
      <alignment horizontal="center"/>
    </xf>
    <xf numFmtId="0" fontId="0" fillId="14" borderId="75" xfId="0" applyFill="1" applyBorder="1" applyAlignment="1"/>
    <xf numFmtId="0" fontId="0" fillId="14" borderId="65" xfId="0" applyFill="1" applyBorder="1" applyAlignment="1"/>
    <xf numFmtId="0" fontId="0" fillId="14" borderId="58" xfId="0" applyFill="1" applyBorder="1" applyAlignment="1"/>
    <xf numFmtId="0" fontId="0" fillId="14" borderId="65" xfId="0" applyFont="1" applyFill="1" applyBorder="1"/>
    <xf numFmtId="172" fontId="0" fillId="18" borderId="24" xfId="1" applyNumberFormat="1" applyFont="1" applyFill="1" applyBorder="1"/>
    <xf numFmtId="0" fontId="0" fillId="14" borderId="65" xfId="0" applyFill="1" applyBorder="1"/>
    <xf numFmtId="172" fontId="0" fillId="18" borderId="24" xfId="0" applyNumberFormat="1" applyFill="1" applyBorder="1"/>
    <xf numFmtId="0" fontId="0" fillId="18" borderId="65" xfId="0" applyFill="1" applyBorder="1"/>
    <xf numFmtId="172" fontId="0" fillId="18" borderId="28" xfId="0" applyNumberFormat="1" applyFill="1" applyBorder="1"/>
    <xf numFmtId="0" fontId="0" fillId="18" borderId="75" xfId="0" applyFill="1" applyBorder="1"/>
    <xf numFmtId="172" fontId="0" fillId="18" borderId="88" xfId="1" applyNumberFormat="1" applyFont="1" applyFill="1" applyBorder="1"/>
    <xf numFmtId="172" fontId="0" fillId="18" borderId="88" xfId="0" applyNumberFormat="1" applyFill="1" applyBorder="1"/>
    <xf numFmtId="172" fontId="0" fillId="18" borderId="90" xfId="0" applyNumberFormat="1" applyFill="1" applyBorder="1"/>
    <xf numFmtId="165" fontId="0" fillId="18" borderId="12" xfId="0" applyNumberFormat="1" applyFont="1" applyFill="1" applyBorder="1"/>
    <xf numFmtId="165" fontId="0" fillId="18" borderId="12" xfId="0" applyNumberFormat="1" applyFill="1" applyBorder="1"/>
    <xf numFmtId="0" fontId="0" fillId="14" borderId="91" xfId="0" applyFill="1" applyBorder="1"/>
    <xf numFmtId="172" fontId="0" fillId="18" borderId="51" xfId="0" applyNumberFormat="1" applyFill="1" applyBorder="1"/>
    <xf numFmtId="165" fontId="0" fillId="18" borderId="52" xfId="0" applyNumberFormat="1" applyFill="1" applyBorder="1"/>
    <xf numFmtId="172" fontId="0" fillId="18" borderId="1" xfId="0" applyNumberFormat="1" applyFill="1" applyBorder="1" applyAlignment="1"/>
    <xf numFmtId="172" fontId="0" fillId="18" borderId="57" xfId="0" applyNumberFormat="1" applyFill="1" applyBorder="1" applyAlignment="1"/>
    <xf numFmtId="172" fontId="9" fillId="14" borderId="25" xfId="1" applyNumberFormat="1" applyFont="1" applyFill="1" applyBorder="1" applyAlignment="1" applyProtection="1">
      <alignment horizontal="right" vertical="center"/>
    </xf>
    <xf numFmtId="0" fontId="0" fillId="12" borderId="0" xfId="0" applyFill="1"/>
    <xf numFmtId="0" fontId="4" fillId="12" borderId="0" xfId="0" applyFont="1" applyFill="1"/>
    <xf numFmtId="0" fontId="31" fillId="12" borderId="0" xfId="0" applyFont="1" applyFill="1"/>
    <xf numFmtId="0" fontId="23" fillId="12" borderId="0" xfId="0" applyFont="1" applyFill="1" applyAlignment="1">
      <alignment vertical="center"/>
    </xf>
    <xf numFmtId="0" fontId="7" fillId="12" borderId="0" xfId="0" applyFont="1" applyFill="1" applyBorder="1" applyAlignment="1" applyProtection="1">
      <alignment vertical="center"/>
    </xf>
    <xf numFmtId="0" fontId="9" fillId="12" borderId="4" xfId="0" applyFont="1" applyFill="1" applyBorder="1" applyAlignment="1" applyProtection="1">
      <alignment vertical="center"/>
    </xf>
    <xf numFmtId="165" fontId="18" fillId="12" borderId="69" xfId="0" applyNumberFormat="1" applyFont="1" applyFill="1" applyBorder="1" applyAlignment="1" applyProtection="1">
      <alignment vertical="center"/>
    </xf>
    <xf numFmtId="0" fontId="0" fillId="12" borderId="69" xfId="0" applyFill="1" applyBorder="1"/>
    <xf numFmtId="0" fontId="0" fillId="18" borderId="14" xfId="0" applyFill="1" applyBorder="1" applyAlignment="1">
      <alignment horizontal="center"/>
    </xf>
    <xf numFmtId="0" fontId="0" fillId="18" borderId="14" xfId="0" applyFill="1" applyBorder="1" applyAlignment="1">
      <alignment horizontal="center" wrapText="1"/>
    </xf>
    <xf numFmtId="0" fontId="0" fillId="18" borderId="28" xfId="0" applyFill="1" applyBorder="1" applyAlignment="1">
      <alignment horizontal="center" wrapText="1"/>
    </xf>
    <xf numFmtId="0" fontId="0" fillId="18" borderId="31" xfId="0" applyFill="1" applyBorder="1" applyAlignment="1">
      <alignment horizontal="center" wrapText="1"/>
    </xf>
    <xf numFmtId="0" fontId="0" fillId="18" borderId="48" xfId="0" applyFill="1" applyBorder="1" applyAlignment="1">
      <alignment horizontal="center" wrapText="1"/>
    </xf>
    <xf numFmtId="0" fontId="0" fillId="18" borderId="90" xfId="0" applyFill="1" applyBorder="1" applyAlignment="1">
      <alignment horizontal="center" wrapText="1"/>
    </xf>
    <xf numFmtId="172" fontId="12" fillId="14" borderId="1" xfId="1" applyNumberFormat="1" applyFont="1" applyFill="1" applyBorder="1" applyAlignment="1" applyProtection="1">
      <alignment horizontal="right" vertical="center" wrapText="1"/>
    </xf>
    <xf numFmtId="172" fontId="12" fillId="16" borderId="57" xfId="1" applyNumberFormat="1" applyFont="1" applyFill="1" applyBorder="1" applyAlignment="1" applyProtection="1">
      <alignment horizontal="right" vertical="center" wrapText="1"/>
    </xf>
    <xf numFmtId="172" fontId="9" fillId="14" borderId="3" xfId="1" applyNumberFormat="1" applyFont="1" applyFill="1" applyBorder="1" applyAlignment="1" applyProtection="1">
      <alignment vertical="center"/>
    </xf>
    <xf numFmtId="9" fontId="8" fillId="16" borderId="43" xfId="2" applyFont="1" applyFill="1" applyBorder="1" applyAlignment="1" applyProtection="1">
      <alignment vertical="center"/>
    </xf>
    <xf numFmtId="0" fontId="0" fillId="12" borderId="0" xfId="0" applyFill="1" applyBorder="1"/>
    <xf numFmtId="0" fontId="9" fillId="16" borderId="60" xfId="0" applyFont="1" applyFill="1" applyBorder="1" applyAlignment="1" applyProtection="1">
      <alignment horizontal="center" vertical="center" wrapText="1"/>
    </xf>
    <xf numFmtId="171" fontId="8" fillId="16" borderId="56" xfId="0" applyNumberFormat="1" applyFont="1" applyFill="1" applyBorder="1" applyAlignment="1" applyProtection="1">
      <alignment vertical="center"/>
    </xf>
    <xf numFmtId="172" fontId="9" fillId="14" borderId="85" xfId="1" applyNumberFormat="1" applyFont="1" applyFill="1" applyBorder="1" applyAlignment="1" applyProtection="1">
      <alignment vertical="center"/>
    </xf>
    <xf numFmtId="172" fontId="9" fillId="14" borderId="84" xfId="1" applyNumberFormat="1" applyFont="1" applyFill="1" applyBorder="1" applyAlignment="1" applyProtection="1">
      <alignment horizontal="right" vertical="center"/>
    </xf>
    <xf numFmtId="0" fontId="9" fillId="7" borderId="39" xfId="0" applyFont="1" applyFill="1" applyBorder="1" applyAlignment="1" applyProtection="1">
      <alignment vertical="center"/>
    </xf>
    <xf numFmtId="165" fontId="18" fillId="7" borderId="39" xfId="0" applyNumberFormat="1" applyFont="1" applyFill="1" applyBorder="1" applyAlignment="1" applyProtection="1">
      <alignment vertical="center"/>
    </xf>
    <xf numFmtId="0" fontId="18" fillId="7" borderId="39" xfId="0" applyFont="1" applyFill="1" applyBorder="1" applyAlignment="1" applyProtection="1">
      <alignment vertical="center"/>
    </xf>
    <xf numFmtId="0" fontId="9" fillId="16" borderId="37" xfId="0" applyFont="1" applyFill="1" applyBorder="1" applyAlignment="1" applyProtection="1">
      <alignment horizontal="center" vertical="center" wrapText="1"/>
    </xf>
    <xf numFmtId="0" fontId="14" fillId="17" borderId="27" xfId="0" applyFont="1" applyFill="1" applyBorder="1" applyAlignment="1" applyProtection="1">
      <alignment vertical="center" wrapText="1"/>
    </xf>
    <xf numFmtId="9" fontId="12" fillId="16" borderId="3" xfId="2" applyFont="1" applyFill="1" applyBorder="1" applyAlignment="1" applyProtection="1">
      <alignment horizontal="center" vertical="center" wrapText="1"/>
    </xf>
    <xf numFmtId="0" fontId="22" fillId="12" borderId="0" xfId="0" applyFont="1" applyFill="1" applyBorder="1" applyAlignment="1" applyProtection="1">
      <alignment vertical="center"/>
    </xf>
    <xf numFmtId="0" fontId="8" fillId="16" borderId="56" xfId="0" applyFont="1" applyFill="1" applyBorder="1" applyAlignment="1" applyProtection="1">
      <alignment horizontal="center" vertical="center"/>
    </xf>
    <xf numFmtId="172" fontId="10" fillId="16" borderId="23" xfId="1" applyNumberFormat="1" applyFont="1" applyFill="1" applyBorder="1" applyAlignment="1" applyProtection="1">
      <alignment vertical="center"/>
    </xf>
    <xf numFmtId="172" fontId="10" fillId="14" borderId="14" xfId="1" applyNumberFormat="1" applyFont="1" applyFill="1" applyBorder="1" applyAlignment="1" applyProtection="1">
      <alignment vertical="center"/>
    </xf>
    <xf numFmtId="172" fontId="10" fillId="16" borderId="14" xfId="1" applyNumberFormat="1" applyFont="1" applyFill="1" applyBorder="1" applyAlignment="1" applyProtection="1">
      <alignment vertical="center"/>
    </xf>
    <xf numFmtId="172" fontId="10" fillId="14" borderId="18" xfId="1" applyNumberFormat="1" applyFont="1" applyFill="1" applyBorder="1" applyAlignment="1" applyProtection="1">
      <alignment vertical="center"/>
    </xf>
    <xf numFmtId="172" fontId="10" fillId="16" borderId="93" xfId="1" applyNumberFormat="1" applyFont="1" applyFill="1" applyBorder="1" applyAlignment="1" applyProtection="1">
      <alignment vertical="center"/>
    </xf>
    <xf numFmtId="172" fontId="9" fillId="18" borderId="39" xfId="1" applyNumberFormat="1" applyFont="1" applyFill="1" applyBorder="1" applyAlignment="1" applyProtection="1">
      <alignment horizontal="right"/>
    </xf>
    <xf numFmtId="172" fontId="8" fillId="14" borderId="14" xfId="1" applyNumberFormat="1" applyFont="1" applyFill="1" applyBorder="1" applyAlignment="1" applyProtection="1">
      <alignment vertical="center"/>
    </xf>
    <xf numFmtId="172" fontId="9" fillId="14" borderId="14" xfId="1" applyNumberFormat="1" applyFont="1" applyFill="1" applyBorder="1" applyAlignment="1" applyProtection="1">
      <alignment vertical="center"/>
    </xf>
    <xf numFmtId="172" fontId="12" fillId="14" borderId="14" xfId="1" applyNumberFormat="1" applyFont="1" applyFill="1" applyBorder="1" applyAlignment="1" applyProtection="1">
      <alignment vertical="center"/>
    </xf>
    <xf numFmtId="172" fontId="11" fillId="18" borderId="47" xfId="1" applyNumberFormat="1" applyFont="1" applyFill="1" applyBorder="1" applyAlignment="1" applyProtection="1">
      <alignment vertical="center"/>
    </xf>
    <xf numFmtId="172" fontId="8" fillId="16" borderId="93" xfId="1" applyNumberFormat="1" applyFont="1" applyFill="1" applyBorder="1" applyAlignment="1" applyProtection="1">
      <alignment vertical="center"/>
    </xf>
    <xf numFmtId="172" fontId="15" fillId="16" borderId="53" xfId="1" applyNumberFormat="1" applyFont="1" applyFill="1" applyBorder="1" applyAlignment="1" applyProtection="1"/>
    <xf numFmtId="0" fontId="0" fillId="18" borderId="55" xfId="0" applyFill="1" applyBorder="1" applyAlignment="1">
      <alignment horizontal="center" wrapText="1"/>
    </xf>
    <xf numFmtId="0" fontId="0" fillId="18" borderId="33" xfId="0" applyFill="1" applyBorder="1" applyAlignment="1">
      <alignment horizontal="center" wrapText="1"/>
    </xf>
    <xf numFmtId="165" fontId="14" fillId="14" borderId="62" xfId="2" applyNumberFormat="1" applyFont="1" applyFill="1" applyBorder="1" applyAlignment="1" applyProtection="1">
      <alignment vertical="center" wrapText="1"/>
    </xf>
    <xf numFmtId="172" fontId="14" fillId="0" borderId="1" xfId="1" applyNumberFormat="1" applyFont="1" applyFill="1" applyBorder="1" applyAlignment="1" applyProtection="1">
      <alignment vertical="center" wrapText="1"/>
    </xf>
    <xf numFmtId="172" fontId="14" fillId="0" borderId="2" xfId="1" applyNumberFormat="1" applyFont="1" applyFill="1" applyBorder="1" applyAlignment="1" applyProtection="1">
      <alignment vertical="center" wrapText="1"/>
    </xf>
    <xf numFmtId="0" fontId="0" fillId="14" borderId="68" xfId="0" applyFont="1" applyFill="1" applyBorder="1"/>
    <xf numFmtId="0" fontId="0" fillId="14" borderId="7" xfId="0" applyFont="1" applyFill="1" applyBorder="1"/>
    <xf numFmtId="172" fontId="0" fillId="18" borderId="43" xfId="1" applyNumberFormat="1" applyFont="1" applyFill="1" applyBorder="1"/>
    <xf numFmtId="165" fontId="0" fillId="18" borderId="8" xfId="0" applyNumberFormat="1" applyFont="1" applyFill="1" applyBorder="1"/>
    <xf numFmtId="0" fontId="0" fillId="14" borderId="7" xfId="0" applyFill="1" applyBorder="1"/>
    <xf numFmtId="172" fontId="0" fillId="18" borderId="10" xfId="0" applyNumberFormat="1" applyFill="1" applyBorder="1"/>
    <xf numFmtId="165" fontId="0" fillId="18" borderId="8" xfId="2" applyNumberFormat="1" applyFont="1" applyFill="1" applyBorder="1"/>
    <xf numFmtId="172" fontId="14" fillId="18" borderId="94" xfId="1" applyNumberFormat="1" applyFont="1" applyFill="1" applyBorder="1" applyAlignment="1" applyProtection="1">
      <alignment horizontal="right" vertical="center"/>
    </xf>
    <xf numFmtId="172" fontId="13" fillId="0" borderId="5" xfId="1" applyNumberFormat="1" applyFont="1" applyFill="1" applyBorder="1" applyAlignment="1" applyProtection="1">
      <protection locked="0"/>
    </xf>
    <xf numFmtId="0" fontId="30" fillId="12" borderId="0" xfId="0" applyFont="1" applyFill="1"/>
    <xf numFmtId="0" fontId="34" fillId="12" borderId="0" xfId="0" applyFont="1" applyFill="1"/>
    <xf numFmtId="0" fontId="0" fillId="14" borderId="75" xfId="0" applyFill="1" applyBorder="1" applyAlignment="1">
      <alignment wrapText="1"/>
    </xf>
    <xf numFmtId="0" fontId="36" fillId="12" borderId="0" xfId="0" applyFont="1" applyFill="1"/>
    <xf numFmtId="0" fontId="0" fillId="14" borderId="65" xfId="0" applyFill="1" applyBorder="1" applyAlignment="1">
      <alignment vertical="center"/>
    </xf>
    <xf numFmtId="0" fontId="20" fillId="0" borderId="1" xfId="0" applyFont="1" applyBorder="1" applyAlignment="1">
      <alignment horizontal="center"/>
    </xf>
    <xf numFmtId="9" fontId="0" fillId="5" borderId="2" xfId="0" applyNumberFormat="1" applyFill="1" applyBorder="1" applyAlignment="1">
      <alignment horizontal="right"/>
    </xf>
    <xf numFmtId="0" fontId="0" fillId="5" borderId="3" xfId="0" applyFill="1" applyBorder="1" applyAlignment="1">
      <alignment horizontal="right"/>
    </xf>
    <xf numFmtId="0" fontId="0" fillId="2" borderId="0" xfId="0" applyFill="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9" fillId="10" borderId="25" xfId="0" applyFont="1" applyFill="1" applyBorder="1" applyAlignment="1" applyProtection="1">
      <alignment horizontal="center" vertical="center" wrapText="1"/>
    </xf>
    <xf numFmtId="0" fontId="9" fillId="10" borderId="49" xfId="0" applyFont="1" applyFill="1" applyBorder="1" applyAlignment="1" applyProtection="1">
      <alignment horizontal="center" vertical="center" wrapText="1"/>
    </xf>
    <xf numFmtId="171" fontId="9" fillId="11" borderId="11" xfId="1" applyNumberFormat="1" applyFont="1" applyFill="1" applyBorder="1" applyAlignment="1" applyProtection="1">
      <alignment horizontal="right" vertical="center"/>
    </xf>
    <xf numFmtId="171" fontId="9" fillId="11" borderId="28" xfId="1" applyNumberFormat="1" applyFont="1" applyFill="1" applyBorder="1" applyAlignment="1" applyProtection="1">
      <alignment horizontal="right" vertical="center"/>
    </xf>
    <xf numFmtId="171" fontId="9" fillId="11" borderId="11" xfId="1" applyNumberFormat="1" applyFont="1" applyFill="1" applyBorder="1" applyAlignment="1" applyProtection="1">
      <alignment horizontal="center" vertical="center"/>
    </xf>
    <xf numFmtId="171" fontId="9" fillId="11" borderId="28" xfId="1" applyNumberFormat="1" applyFont="1" applyFill="1" applyBorder="1" applyAlignment="1" applyProtection="1">
      <alignment horizontal="center" vertical="center"/>
    </xf>
    <xf numFmtId="171" fontId="8" fillId="10" borderId="19" xfId="1" quotePrefix="1" applyNumberFormat="1" applyFont="1" applyFill="1" applyBorder="1" applyAlignment="1" applyProtection="1">
      <alignment horizontal="right" vertical="center"/>
    </xf>
    <xf numFmtId="171" fontId="8" fillId="10" borderId="22" xfId="1" quotePrefix="1" applyNumberFormat="1" applyFont="1" applyFill="1" applyBorder="1" applyAlignment="1" applyProtection="1">
      <alignment horizontal="right" vertical="center"/>
    </xf>
    <xf numFmtId="171" fontId="18" fillId="13" borderId="19" xfId="0" applyNumberFormat="1" applyFont="1" applyFill="1" applyBorder="1" applyAlignment="1" applyProtection="1">
      <alignment horizontal="center" vertical="center"/>
    </xf>
    <xf numFmtId="171" fontId="18" fillId="13" borderId="22" xfId="0" applyNumberFormat="1" applyFont="1" applyFill="1" applyBorder="1" applyAlignment="1" applyProtection="1">
      <alignment horizontal="center" vertical="center"/>
    </xf>
    <xf numFmtId="0" fontId="16" fillId="0" borderId="37" xfId="0" applyFont="1" applyBorder="1" applyAlignment="1" applyProtection="1">
      <alignment horizontal="left" vertical="top" wrapText="1"/>
    </xf>
    <xf numFmtId="0" fontId="8" fillId="10" borderId="2" xfId="0" applyFont="1" applyFill="1" applyBorder="1" applyAlignment="1" applyProtection="1">
      <alignment horizontal="center" vertical="center" wrapText="1"/>
    </xf>
    <xf numFmtId="0" fontId="8" fillId="10" borderId="38" xfId="0" applyFont="1" applyFill="1" applyBorder="1" applyAlignment="1" applyProtection="1">
      <alignment horizontal="center" vertical="center" wrapText="1"/>
    </xf>
    <xf numFmtId="0" fontId="8" fillId="10" borderId="37" xfId="0" applyFont="1" applyFill="1" applyBorder="1" applyAlignment="1" applyProtection="1">
      <alignment horizontal="center" vertical="center" wrapText="1"/>
    </xf>
    <xf numFmtId="0" fontId="17" fillId="10" borderId="38" xfId="0" applyFont="1" applyFill="1" applyBorder="1" applyAlignment="1" applyProtection="1">
      <alignment horizontal="center" vertical="center" wrapText="1"/>
    </xf>
    <xf numFmtId="0" fontId="17" fillId="10" borderId="39" xfId="0" applyFont="1" applyFill="1" applyBorder="1" applyAlignment="1" applyProtection="1">
      <alignment horizontal="center" vertical="center" wrapText="1"/>
    </xf>
    <xf numFmtId="171" fontId="9" fillId="11" borderId="16" xfId="1" applyNumberFormat="1" applyFont="1" applyFill="1" applyBorder="1" applyAlignment="1" applyProtection="1">
      <alignment horizontal="right" vertical="center"/>
    </xf>
    <xf numFmtId="171" fontId="9" fillId="11" borderId="47" xfId="1" applyNumberFormat="1" applyFont="1" applyFill="1" applyBorder="1" applyAlignment="1" applyProtection="1">
      <alignment horizontal="right" vertical="center"/>
    </xf>
    <xf numFmtId="0" fontId="0" fillId="7" borderId="6" xfId="0" applyFont="1" applyFill="1" applyBorder="1" applyAlignment="1">
      <alignment horizontal="center" vertical="center"/>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8" fillId="10" borderId="50" xfId="0" applyFont="1" applyFill="1" applyBorder="1" applyAlignment="1" applyProtection="1">
      <alignment horizontal="center" vertical="center" wrapText="1"/>
    </xf>
    <xf numFmtId="0" fontId="8" fillId="10" borderId="51" xfId="0" applyFont="1" applyFill="1" applyBorder="1" applyAlignment="1" applyProtection="1">
      <alignment horizontal="center" vertical="center" wrapText="1"/>
    </xf>
    <xf numFmtId="0" fontId="8" fillId="10" borderId="52" xfId="0" applyFont="1" applyFill="1" applyBorder="1" applyAlignment="1" applyProtection="1">
      <alignment horizontal="center" vertical="center" wrapText="1"/>
    </xf>
    <xf numFmtId="0" fontId="9" fillId="10" borderId="41" xfId="0" applyFont="1" applyFill="1" applyBorder="1" applyAlignment="1" applyProtection="1">
      <alignment horizontal="center" vertical="center" wrapText="1"/>
    </xf>
    <xf numFmtId="0" fontId="9" fillId="10" borderId="36" xfId="0" applyFont="1" applyFill="1" applyBorder="1" applyAlignment="1" applyProtection="1">
      <alignment horizontal="center" vertical="center" wrapText="1"/>
    </xf>
    <xf numFmtId="171" fontId="8" fillId="10" borderId="44" xfId="0" applyNumberFormat="1" applyFont="1" applyFill="1" applyBorder="1" applyAlignment="1" applyProtection="1">
      <alignment horizontal="right" vertical="center"/>
    </xf>
    <xf numFmtId="171" fontId="8" fillId="10" borderId="8" xfId="0" applyNumberFormat="1" applyFont="1" applyFill="1" applyBorder="1" applyAlignment="1" applyProtection="1">
      <alignment horizontal="right" vertical="center"/>
    </xf>
    <xf numFmtId="171" fontId="9" fillId="11" borderId="45" xfId="1" applyNumberFormat="1" applyFont="1" applyFill="1" applyBorder="1" applyAlignment="1" applyProtection="1">
      <alignment horizontal="right" vertical="center"/>
    </xf>
    <xf numFmtId="171" fontId="9" fillId="11" borderId="46" xfId="1" applyNumberFormat="1" applyFont="1" applyFill="1" applyBorder="1" applyAlignment="1" applyProtection="1">
      <alignment horizontal="right" vertical="center"/>
    </xf>
    <xf numFmtId="0" fontId="20" fillId="0" borderId="1" xfId="0" applyFont="1" applyBorder="1" applyAlignment="1">
      <alignment horizontal="center" vertical="center"/>
    </xf>
    <xf numFmtId="0" fontId="4" fillId="17" borderId="7" xfId="0" applyFont="1" applyFill="1" applyBorder="1" applyAlignment="1">
      <alignment horizontal="center"/>
    </xf>
    <xf numFmtId="0" fontId="4" fillId="17" borderId="8" xfId="0" applyFont="1" applyFill="1" applyBorder="1" applyAlignment="1">
      <alignment horizontal="center"/>
    </xf>
    <xf numFmtId="0" fontId="4" fillId="17" borderId="42" xfId="0" applyFont="1" applyFill="1" applyBorder="1" applyAlignment="1">
      <alignment horizontal="center"/>
    </xf>
    <xf numFmtId="0" fontId="4" fillId="17" borderId="43" xfId="0" applyFont="1" applyFill="1" applyBorder="1" applyAlignment="1">
      <alignment horizontal="center"/>
    </xf>
    <xf numFmtId="0" fontId="4" fillId="17" borderId="56" xfId="0" applyFont="1" applyFill="1" applyBorder="1" applyAlignment="1">
      <alignment horizontal="center"/>
    </xf>
    <xf numFmtId="0" fontId="4" fillId="16" borderId="63" xfId="0" applyFont="1" applyFill="1" applyBorder="1" applyAlignment="1">
      <alignment horizontal="center"/>
    </xf>
    <xf numFmtId="0" fontId="4" fillId="16" borderId="26" xfId="0" applyFont="1" applyFill="1" applyBorder="1" applyAlignment="1">
      <alignment horizontal="center"/>
    </xf>
    <xf numFmtId="0" fontId="0" fillId="12" borderId="65" xfId="0" applyFill="1" applyBorder="1" applyAlignment="1">
      <alignment horizontal="left"/>
    </xf>
    <xf numFmtId="0" fontId="0" fillId="12" borderId="28" xfId="0" applyFill="1" applyBorder="1" applyAlignment="1">
      <alignment horizontal="left"/>
    </xf>
    <xf numFmtId="0" fontId="30" fillId="0" borderId="0" xfId="0" applyFont="1" applyAlignment="1">
      <alignment horizontal="left" vertical="center"/>
    </xf>
    <xf numFmtId="0" fontId="30" fillId="0" borderId="0" xfId="0" applyFont="1" applyAlignment="1">
      <alignment horizontal="left" wrapText="1"/>
    </xf>
    <xf numFmtId="0" fontId="30" fillId="0" borderId="0" xfId="0" applyFont="1" applyAlignment="1">
      <alignment horizontal="left" vertical="center" wrapText="1"/>
    </xf>
    <xf numFmtId="0" fontId="30" fillId="0" borderId="95" xfId="0" applyFont="1" applyBorder="1" applyAlignment="1">
      <alignment horizontal="left" wrapText="1"/>
    </xf>
    <xf numFmtId="170" fontId="9" fillId="0" borderId="11" xfId="1" applyNumberFormat="1" applyFont="1" applyFill="1" applyBorder="1" applyAlignment="1" applyProtection="1">
      <alignment horizontal="right" vertical="center"/>
      <protection locked="0"/>
    </xf>
    <xf numFmtId="170" fontId="9" fillId="0" borderId="12" xfId="1" applyNumberFormat="1" applyFont="1" applyFill="1" applyBorder="1" applyAlignment="1" applyProtection="1">
      <alignment horizontal="right" vertical="center"/>
      <protection locked="0"/>
    </xf>
    <xf numFmtId="170" fontId="10" fillId="14" borderId="65" xfId="1" applyNumberFormat="1" applyFont="1" applyFill="1" applyBorder="1" applyAlignment="1" applyProtection="1">
      <alignment horizontal="center" vertical="center"/>
    </xf>
    <xf numFmtId="170" fontId="10" fillId="14" borderId="28" xfId="1" applyNumberFormat="1" applyFont="1" applyFill="1" applyBorder="1" applyAlignment="1" applyProtection="1">
      <alignment horizontal="center" vertical="center"/>
    </xf>
    <xf numFmtId="0" fontId="22" fillId="17" borderId="7" xfId="0" applyFont="1" applyFill="1" applyBorder="1" applyAlignment="1" applyProtection="1">
      <alignment horizontal="center" vertical="center"/>
    </xf>
    <xf numFmtId="0" fontId="22" fillId="17" borderId="10" xfId="0" applyFont="1" applyFill="1" applyBorder="1" applyAlignment="1" applyProtection="1">
      <alignment horizontal="center" vertical="center"/>
    </xf>
    <xf numFmtId="0" fontId="22" fillId="17" borderId="8" xfId="0" applyFont="1" applyFill="1" applyBorder="1" applyAlignment="1" applyProtection="1">
      <alignment horizontal="center" vertical="center"/>
    </xf>
    <xf numFmtId="0" fontId="8" fillId="16" borderId="44" xfId="0" applyFont="1" applyFill="1" applyBorder="1" applyAlignment="1" applyProtection="1">
      <alignment horizontal="center" vertical="center"/>
    </xf>
    <xf numFmtId="0" fontId="8" fillId="16" borderId="70" xfId="0" applyFont="1" applyFill="1" applyBorder="1" applyAlignment="1" applyProtection="1">
      <alignment horizontal="center" vertical="center"/>
    </xf>
    <xf numFmtId="0" fontId="8" fillId="16" borderId="8" xfId="0" applyFont="1" applyFill="1" applyBorder="1" applyAlignment="1" applyProtection="1">
      <alignment horizontal="center" vertical="center"/>
    </xf>
    <xf numFmtId="170" fontId="9" fillId="16" borderId="25" xfId="1" applyNumberFormat="1" applyFont="1" applyFill="1" applyBorder="1" applyAlignment="1" applyProtection="1">
      <alignment horizontal="right" vertical="center"/>
    </xf>
    <xf numFmtId="170" fontId="9" fillId="16" borderId="64" xfId="1" applyNumberFormat="1" applyFont="1" applyFill="1" applyBorder="1" applyAlignment="1" applyProtection="1">
      <alignment horizontal="right" vertical="center"/>
    </xf>
    <xf numFmtId="170" fontId="10" fillId="16" borderId="63" xfId="1" applyNumberFormat="1" applyFont="1" applyFill="1" applyBorder="1" applyAlignment="1" applyProtection="1">
      <alignment horizontal="center" vertical="center"/>
    </xf>
    <xf numFmtId="170" fontId="10" fillId="16" borderId="49" xfId="1" applyNumberFormat="1" applyFont="1" applyFill="1" applyBorder="1" applyAlignment="1" applyProtection="1">
      <alignment horizontal="center" vertical="center"/>
    </xf>
    <xf numFmtId="170" fontId="9" fillId="16" borderId="11" xfId="1" applyNumberFormat="1" applyFont="1" applyFill="1" applyBorder="1" applyAlignment="1" applyProtection="1">
      <alignment horizontal="right" vertical="center"/>
    </xf>
    <xf numFmtId="170" fontId="9" fillId="16" borderId="12" xfId="1" applyNumberFormat="1" applyFont="1" applyFill="1" applyBorder="1" applyAlignment="1" applyProtection="1">
      <alignment horizontal="right" vertical="center"/>
    </xf>
    <xf numFmtId="170" fontId="10" fillId="16" borderId="65" xfId="1" applyNumberFormat="1" applyFont="1" applyFill="1" applyBorder="1" applyAlignment="1" applyProtection="1">
      <alignment horizontal="center" vertical="center"/>
    </xf>
    <xf numFmtId="170" fontId="10" fillId="16" borderId="28" xfId="1" applyNumberFormat="1" applyFont="1" applyFill="1" applyBorder="1" applyAlignment="1" applyProtection="1">
      <alignment horizontal="center" vertical="center"/>
    </xf>
    <xf numFmtId="170" fontId="9" fillId="0" borderId="16" xfId="1" applyNumberFormat="1" applyFont="1" applyFill="1" applyBorder="1" applyAlignment="1" applyProtection="1">
      <alignment horizontal="right" vertical="center"/>
      <protection locked="0"/>
    </xf>
    <xf numFmtId="170" fontId="9" fillId="0" borderId="17" xfId="1" applyNumberFormat="1" applyFont="1" applyFill="1" applyBorder="1" applyAlignment="1" applyProtection="1">
      <alignment horizontal="right" vertical="center"/>
      <protection locked="0"/>
    </xf>
    <xf numFmtId="170" fontId="10" fillId="14" borderId="66" xfId="1" applyNumberFormat="1" applyFont="1" applyFill="1" applyBorder="1" applyAlignment="1" applyProtection="1">
      <alignment horizontal="center" vertical="center"/>
    </xf>
    <xf numFmtId="170" fontId="10" fillId="14" borderId="47" xfId="1" applyNumberFormat="1" applyFont="1" applyFill="1" applyBorder="1" applyAlignment="1" applyProtection="1">
      <alignment horizontal="center" vertical="center"/>
    </xf>
    <xf numFmtId="170" fontId="8" fillId="16" borderId="19" xfId="1" applyNumberFormat="1" applyFont="1" applyFill="1" applyBorder="1" applyAlignment="1" applyProtection="1">
      <alignment horizontal="right" vertical="center"/>
    </xf>
    <xf numFmtId="170" fontId="8" fillId="16" borderId="20" xfId="1" applyNumberFormat="1" applyFont="1" applyFill="1" applyBorder="1" applyAlignment="1" applyProtection="1">
      <alignment horizontal="right" vertical="center"/>
    </xf>
    <xf numFmtId="170" fontId="10" fillId="16" borderId="67" xfId="1" applyNumberFormat="1" applyFont="1" applyFill="1" applyBorder="1" applyAlignment="1" applyProtection="1">
      <alignment horizontal="center" vertical="center"/>
    </xf>
    <xf numFmtId="170" fontId="10" fillId="16" borderId="22" xfId="1" applyNumberFormat="1" applyFont="1" applyFill="1" applyBorder="1" applyAlignment="1" applyProtection="1">
      <alignment horizontal="center" vertical="center"/>
    </xf>
    <xf numFmtId="170" fontId="12" fillId="14" borderId="11" xfId="1" applyNumberFormat="1" applyFont="1" applyFill="1" applyBorder="1" applyAlignment="1" applyProtection="1">
      <alignment horizontal="right" vertical="center"/>
    </xf>
    <xf numFmtId="170" fontId="12" fillId="14" borderId="12" xfId="1" applyNumberFormat="1" applyFont="1" applyFill="1" applyBorder="1" applyAlignment="1" applyProtection="1">
      <alignment horizontal="right" vertical="center"/>
    </xf>
    <xf numFmtId="170" fontId="12" fillId="14" borderId="65" xfId="1" applyNumberFormat="1" applyFont="1" applyFill="1" applyBorder="1" applyAlignment="1" applyProtection="1">
      <alignment horizontal="center" vertical="center"/>
    </xf>
    <xf numFmtId="170" fontId="12" fillId="14" borderId="28" xfId="1" applyNumberFormat="1" applyFont="1" applyFill="1" applyBorder="1" applyAlignment="1" applyProtection="1">
      <alignment horizontal="center" vertical="center"/>
    </xf>
    <xf numFmtId="170" fontId="8" fillId="16" borderId="67" xfId="1" applyNumberFormat="1" applyFont="1" applyFill="1" applyBorder="1" applyAlignment="1" applyProtection="1">
      <alignment horizontal="center" vertical="center"/>
    </xf>
    <xf numFmtId="170" fontId="8" fillId="16" borderId="22" xfId="1" applyNumberFormat="1" applyFont="1" applyFill="1" applyBorder="1" applyAlignment="1" applyProtection="1">
      <alignment horizontal="center" vertical="center"/>
    </xf>
    <xf numFmtId="170" fontId="9" fillId="14" borderId="11" xfId="1" applyNumberFormat="1" applyFont="1" applyFill="1" applyBorder="1" applyAlignment="1" applyProtection="1">
      <alignment horizontal="right" vertical="center"/>
    </xf>
    <xf numFmtId="170" fontId="9" fillId="14" borderId="12" xfId="1" applyNumberFormat="1" applyFont="1" applyFill="1" applyBorder="1" applyAlignment="1" applyProtection="1">
      <alignment horizontal="right" vertical="center"/>
    </xf>
    <xf numFmtId="170" fontId="8" fillId="14" borderId="65" xfId="1" applyNumberFormat="1" applyFont="1" applyFill="1" applyBorder="1" applyAlignment="1" applyProtection="1">
      <alignment horizontal="center" vertical="center"/>
    </xf>
    <xf numFmtId="170" fontId="8" fillId="14" borderId="28" xfId="1" applyNumberFormat="1" applyFont="1" applyFill="1" applyBorder="1" applyAlignment="1" applyProtection="1">
      <alignment horizontal="center" vertical="center"/>
    </xf>
    <xf numFmtId="170" fontId="9" fillId="14" borderId="65" xfId="1" applyNumberFormat="1" applyFont="1" applyFill="1" applyBorder="1" applyAlignment="1" applyProtection="1">
      <alignment horizontal="center" vertical="center"/>
    </xf>
    <xf numFmtId="170" fontId="9" fillId="14" borderId="28" xfId="1" applyNumberFormat="1" applyFont="1" applyFill="1" applyBorder="1" applyAlignment="1" applyProtection="1">
      <alignment horizontal="center" vertical="center"/>
    </xf>
    <xf numFmtId="171" fontId="13" fillId="0" borderId="65" xfId="0" applyNumberFormat="1" applyFont="1" applyFill="1" applyBorder="1" applyAlignment="1" applyProtection="1">
      <alignment horizontal="center"/>
      <protection locked="0"/>
    </xf>
    <xf numFmtId="171" fontId="13" fillId="0" borderId="28" xfId="0" applyNumberFormat="1" applyFont="1" applyFill="1" applyBorder="1" applyAlignment="1" applyProtection="1">
      <alignment horizontal="center"/>
      <protection locked="0"/>
    </xf>
    <xf numFmtId="0" fontId="12" fillId="18" borderId="21" xfId="0" applyFont="1" applyFill="1" applyBorder="1" applyAlignment="1" applyProtection="1">
      <alignment horizontal="right"/>
    </xf>
    <xf numFmtId="171" fontId="15" fillId="16" borderId="80" xfId="0" applyNumberFormat="1" applyFont="1" applyFill="1" applyBorder="1" applyAlignment="1" applyProtection="1">
      <alignment horizontal="center"/>
    </xf>
    <xf numFmtId="171" fontId="15" fillId="16" borderId="81" xfId="0" applyNumberFormat="1" applyFont="1" applyFill="1" applyBorder="1" applyAlignment="1" applyProtection="1">
      <alignment horizontal="center"/>
    </xf>
    <xf numFmtId="0" fontId="22" fillId="17" borderId="4" xfId="0" applyFont="1" applyFill="1" applyBorder="1" applyAlignment="1" applyProtection="1">
      <alignment horizontal="center" vertical="center"/>
    </xf>
    <xf numFmtId="0" fontId="16" fillId="17" borderId="71" xfId="0" applyFont="1" applyFill="1" applyBorder="1" applyAlignment="1" applyProtection="1">
      <alignment horizontal="left" vertical="top" wrapText="1"/>
    </xf>
    <xf numFmtId="0" fontId="8" fillId="16" borderId="50" xfId="0" applyFont="1" applyFill="1" applyBorder="1" applyAlignment="1" applyProtection="1">
      <alignment horizontal="center" vertical="center" wrapText="1"/>
    </xf>
    <xf numFmtId="0" fontId="8" fillId="16" borderId="51" xfId="0" applyFont="1" applyFill="1" applyBorder="1" applyAlignment="1" applyProtection="1">
      <alignment horizontal="center" vertical="center" wrapText="1"/>
    </xf>
    <xf numFmtId="0" fontId="8" fillId="16" borderId="52" xfId="0" applyFont="1" applyFill="1" applyBorder="1" applyAlignment="1" applyProtection="1">
      <alignment horizontal="center" vertical="center" wrapText="1"/>
    </xf>
    <xf numFmtId="0" fontId="17" fillId="16" borderId="38" xfId="0" applyFont="1" applyFill="1" applyBorder="1" applyAlignment="1" applyProtection="1">
      <alignment horizontal="center" vertical="center" wrapText="1"/>
    </xf>
    <xf numFmtId="0" fontId="17" fillId="16" borderId="0" xfId="0" applyFont="1" applyFill="1" applyBorder="1" applyAlignment="1" applyProtection="1">
      <alignment horizontal="center" vertical="center" wrapText="1"/>
    </xf>
    <xf numFmtId="0" fontId="8" fillId="16" borderId="86" xfId="0" applyFont="1" applyFill="1" applyBorder="1" applyAlignment="1" applyProtection="1">
      <alignment horizontal="center" vertical="center" wrapText="1"/>
    </xf>
    <xf numFmtId="0" fontId="8" fillId="16" borderId="87" xfId="0" applyFont="1" applyFill="1" applyBorder="1" applyAlignment="1" applyProtection="1">
      <alignment horizontal="center" vertical="center" wrapText="1"/>
    </xf>
    <xf numFmtId="0" fontId="8" fillId="16" borderId="60" xfId="0" applyFont="1" applyFill="1" applyBorder="1" applyAlignment="1" applyProtection="1">
      <alignment horizontal="center" vertical="center" wrapText="1"/>
    </xf>
    <xf numFmtId="0" fontId="8" fillId="16" borderId="9" xfId="0" applyFont="1" applyFill="1" applyBorder="1" applyAlignment="1" applyProtection="1">
      <alignment horizontal="center" vertical="center" wrapText="1"/>
    </xf>
    <xf numFmtId="0" fontId="8" fillId="16" borderId="54" xfId="0" applyFont="1" applyFill="1" applyBorder="1" applyAlignment="1" applyProtection="1">
      <alignment horizontal="center" vertical="center" wrapText="1"/>
    </xf>
    <xf numFmtId="0" fontId="8" fillId="16" borderId="38" xfId="0" applyFont="1" applyFill="1" applyBorder="1" applyAlignment="1" applyProtection="1">
      <alignment horizontal="center" vertical="center" wrapText="1"/>
    </xf>
    <xf numFmtId="0" fontId="8" fillId="16" borderId="37" xfId="0" applyFont="1" applyFill="1" applyBorder="1" applyAlignment="1" applyProtection="1">
      <alignment horizontal="center" vertical="center" wrapText="1"/>
    </xf>
    <xf numFmtId="172" fontId="9" fillId="14" borderId="3" xfId="1" applyNumberFormat="1" applyFont="1" applyFill="1" applyBorder="1" applyAlignment="1" applyProtection="1">
      <alignment horizontal="right" vertical="center"/>
    </xf>
    <xf numFmtId="171" fontId="3" fillId="19" borderId="42" xfId="3" applyNumberFormat="1" applyFill="1" applyBorder="1" applyAlignment="1" applyProtection="1">
      <alignment horizontal="center" vertical="center"/>
    </xf>
    <xf numFmtId="171" fontId="3" fillId="19" borderId="43" xfId="3" applyNumberFormat="1" applyFill="1" applyBorder="1" applyAlignment="1" applyProtection="1">
      <alignment horizontal="center" vertical="center"/>
    </xf>
    <xf numFmtId="171" fontId="3" fillId="19" borderId="56" xfId="3" applyNumberFormat="1" applyFill="1" applyBorder="1" applyAlignment="1" applyProtection="1">
      <alignment horizontal="center" vertical="center"/>
    </xf>
    <xf numFmtId="0" fontId="8" fillId="16" borderId="2" xfId="0" applyFont="1" applyFill="1" applyBorder="1" applyAlignment="1" applyProtection="1">
      <alignment horizontal="center" vertical="center" wrapText="1"/>
    </xf>
    <xf numFmtId="0" fontId="8" fillId="16" borderId="0" xfId="0" applyFont="1" applyFill="1" applyBorder="1" applyAlignment="1" applyProtection="1">
      <alignment horizontal="center" vertical="center" wrapText="1"/>
    </xf>
    <xf numFmtId="9" fontId="9" fillId="16" borderId="38" xfId="2" applyFont="1" applyFill="1" applyBorder="1" applyAlignment="1" applyProtection="1">
      <alignment horizontal="center" vertical="center" wrapText="1"/>
    </xf>
    <xf numFmtId="9" fontId="9" fillId="16" borderId="0" xfId="2" applyFont="1" applyFill="1" applyBorder="1" applyAlignment="1" applyProtection="1">
      <alignment horizontal="center" vertical="center" wrapText="1"/>
    </xf>
    <xf numFmtId="9" fontId="8" fillId="16" borderId="44" xfId="2" applyFont="1" applyFill="1" applyBorder="1" applyAlignment="1" applyProtection="1">
      <alignment horizontal="center" vertical="center"/>
    </xf>
    <xf numFmtId="9" fontId="8" fillId="16" borderId="10" xfId="2" applyFont="1" applyFill="1" applyBorder="1" applyAlignment="1" applyProtection="1">
      <alignment horizontal="center" vertical="center"/>
    </xf>
    <xf numFmtId="0" fontId="7" fillId="17" borderId="4" xfId="0" applyFont="1" applyFill="1" applyBorder="1" applyAlignment="1" applyProtection="1">
      <alignment horizontal="center" vertical="center"/>
    </xf>
    <xf numFmtId="0" fontId="7" fillId="17" borderId="6" xfId="0" applyFont="1" applyFill="1" applyBorder="1" applyAlignment="1" applyProtection="1">
      <alignment horizontal="center" vertical="center"/>
    </xf>
    <xf numFmtId="0" fontId="7" fillId="17" borderId="29" xfId="0" applyFont="1" applyFill="1" applyBorder="1" applyAlignment="1" applyProtection="1">
      <alignment horizontal="center" vertical="center"/>
    </xf>
    <xf numFmtId="0" fontId="7" fillId="17" borderId="34" xfId="0" applyFont="1" applyFill="1" applyBorder="1" applyAlignment="1" applyProtection="1">
      <alignment horizontal="center" vertical="center"/>
    </xf>
    <xf numFmtId="0" fontId="7" fillId="17" borderId="35" xfId="0" applyFont="1" applyFill="1" applyBorder="1" applyAlignment="1" applyProtection="1">
      <alignment horizontal="center" vertical="center"/>
    </xf>
    <xf numFmtId="0" fontId="7" fillId="17" borderId="36" xfId="0" applyFont="1" applyFill="1" applyBorder="1" applyAlignment="1" applyProtection="1">
      <alignment horizontal="center" vertical="center"/>
    </xf>
    <xf numFmtId="0" fontId="33" fillId="16" borderId="7" xfId="0" applyFont="1" applyFill="1" applyBorder="1" applyAlignment="1">
      <alignment horizontal="center"/>
    </xf>
    <xf numFmtId="0" fontId="33" fillId="16" borderId="10" xfId="0" applyFont="1" applyFill="1" applyBorder="1" applyAlignment="1">
      <alignment horizontal="center"/>
    </xf>
    <xf numFmtId="0" fontId="33" fillId="16" borderId="8" xfId="0" applyFont="1" applyFill="1" applyBorder="1" applyAlignment="1">
      <alignment horizontal="center"/>
    </xf>
    <xf numFmtId="0" fontId="0" fillId="18" borderId="59" xfId="0" applyFill="1" applyBorder="1" applyAlignment="1">
      <alignment horizontal="right"/>
    </xf>
    <xf numFmtId="0" fontId="0" fillId="18" borderId="89" xfId="0" applyFill="1" applyBorder="1" applyAlignment="1">
      <alignment horizontal="right"/>
    </xf>
    <xf numFmtId="0" fontId="0" fillId="18" borderId="24" xfId="0" applyFill="1" applyBorder="1" applyAlignment="1">
      <alignment horizontal="right"/>
    </xf>
    <xf numFmtId="0" fontId="0" fillId="18" borderId="12" xfId="0" applyFill="1" applyBorder="1" applyAlignment="1">
      <alignment horizontal="right"/>
    </xf>
    <xf numFmtId="9" fontId="12" fillId="16" borderId="25" xfId="2" applyFont="1" applyFill="1" applyBorder="1" applyAlignment="1" applyProtection="1">
      <alignment horizontal="center" vertical="center" wrapText="1"/>
    </xf>
    <xf numFmtId="9" fontId="12" fillId="16" borderId="26" xfId="2" applyFont="1" applyFill="1" applyBorder="1" applyAlignment="1" applyProtection="1">
      <alignment horizontal="center" vertical="center" wrapText="1"/>
    </xf>
    <xf numFmtId="0" fontId="12" fillId="14" borderId="11" xfId="0" applyFont="1" applyFill="1" applyBorder="1" applyAlignment="1" applyProtection="1">
      <alignment horizontal="center" vertical="center" wrapText="1"/>
    </xf>
    <xf numFmtId="0" fontId="12" fillId="14" borderId="24" xfId="0" applyFont="1" applyFill="1" applyBorder="1" applyAlignment="1" applyProtection="1">
      <alignment horizontal="center" vertical="center" wrapText="1"/>
    </xf>
    <xf numFmtId="172" fontId="12" fillId="14" borderId="11" xfId="1" applyNumberFormat="1" applyFont="1" applyFill="1" applyBorder="1" applyAlignment="1" applyProtection="1">
      <alignment horizontal="right" vertical="center" wrapText="1"/>
    </xf>
    <xf numFmtId="172" fontId="12" fillId="14" borderId="24" xfId="1" applyNumberFormat="1" applyFont="1" applyFill="1" applyBorder="1" applyAlignment="1" applyProtection="1">
      <alignment horizontal="right" vertical="center" wrapText="1"/>
    </xf>
    <xf numFmtId="0" fontId="12" fillId="16" borderId="83" xfId="0" applyFont="1" applyFill="1" applyBorder="1" applyAlignment="1" applyProtection="1">
      <alignment horizontal="center" vertical="center" wrapText="1"/>
    </xf>
    <xf numFmtId="0" fontId="12" fillId="16" borderId="88" xfId="0" applyFont="1" applyFill="1" applyBorder="1" applyAlignment="1" applyProtection="1">
      <alignment horizontal="center" vertical="center" wrapText="1"/>
    </xf>
    <xf numFmtId="172" fontId="0" fillId="18" borderId="88" xfId="0" applyNumberFormat="1" applyFill="1" applyBorder="1" applyAlignment="1">
      <alignment horizontal="center"/>
    </xf>
    <xf numFmtId="0" fontId="4" fillId="14" borderId="45" xfId="0" applyFont="1" applyFill="1" applyBorder="1" applyAlignment="1">
      <alignment horizontal="center"/>
    </xf>
    <xf numFmtId="0" fontId="4" fillId="14" borderId="89" xfId="0" applyFont="1" applyFill="1" applyBorder="1" applyAlignment="1">
      <alignment horizontal="center"/>
    </xf>
    <xf numFmtId="172" fontId="0" fillId="18" borderId="24" xfId="0" applyNumberFormat="1" applyFill="1" applyBorder="1" applyAlignment="1">
      <alignment horizontal="center"/>
    </xf>
    <xf numFmtId="172" fontId="0" fillId="18" borderId="88" xfId="1" applyNumberFormat="1" applyFont="1" applyFill="1" applyBorder="1" applyAlignment="1">
      <alignment horizontal="center"/>
    </xf>
    <xf numFmtId="172" fontId="0" fillId="18" borderId="76" xfId="1" applyNumberFormat="1" applyFont="1" applyFill="1" applyBorder="1" applyAlignment="1">
      <alignment horizontal="center"/>
    </xf>
    <xf numFmtId="0" fontId="0" fillId="14" borderId="63" xfId="0" applyFill="1" applyBorder="1" applyAlignment="1">
      <alignment horizontal="left" vertical="center" wrapText="1"/>
    </xf>
    <xf numFmtId="0" fontId="0" fillId="14" borderId="65" xfId="0" applyFill="1" applyBorder="1" applyAlignment="1">
      <alignment horizontal="left" vertical="center" wrapText="1"/>
    </xf>
    <xf numFmtId="0" fontId="0" fillId="14" borderId="75" xfId="0" applyFill="1" applyBorder="1" applyAlignment="1">
      <alignment horizontal="left" vertical="center" wrapText="1"/>
    </xf>
    <xf numFmtId="0" fontId="0" fillId="18" borderId="89" xfId="0" applyFill="1" applyBorder="1" applyAlignment="1">
      <alignment horizontal="left"/>
    </xf>
    <xf numFmtId="0" fontId="0" fillId="18" borderId="82" xfId="0" applyFill="1" applyBorder="1" applyAlignment="1">
      <alignment horizontal="left"/>
    </xf>
    <xf numFmtId="0" fontId="0" fillId="18" borderId="12" xfId="0" applyFill="1" applyBorder="1" applyAlignment="1">
      <alignment horizontal="left"/>
    </xf>
    <xf numFmtId="0" fontId="0" fillId="18" borderId="1" xfId="0" applyFill="1" applyBorder="1" applyAlignment="1">
      <alignment horizontal="left"/>
    </xf>
    <xf numFmtId="0" fontId="0" fillId="18" borderId="76" xfId="0" applyFill="1" applyBorder="1" applyAlignment="1">
      <alignment horizontal="left"/>
    </xf>
    <xf numFmtId="0" fontId="0" fillId="18" borderId="57" xfId="0" applyFill="1" applyBorder="1" applyAlignment="1">
      <alignment horizontal="left"/>
    </xf>
    <xf numFmtId="0" fontId="36" fillId="0" borderId="0" xfId="0" applyFont="1" applyAlignment="1">
      <alignment horizontal="left" wrapText="1"/>
    </xf>
    <xf numFmtId="0" fontId="36" fillId="0" borderId="0" xfId="0" applyFont="1" applyAlignment="1">
      <alignment horizontal="left"/>
    </xf>
    <xf numFmtId="0" fontId="36" fillId="0" borderId="0" xfId="0" applyFont="1" applyAlignment="1">
      <alignment horizontal="left" vertical="top" wrapText="1"/>
    </xf>
    <xf numFmtId="0" fontId="36" fillId="0" borderId="0" xfId="0" applyFont="1" applyAlignment="1">
      <alignment horizontal="left" vertical="center" wrapText="1"/>
    </xf>
    <xf numFmtId="0" fontId="35" fillId="0" borderId="0" xfId="0" applyFont="1" applyAlignment="1">
      <alignment horizontal="left" wrapText="1"/>
    </xf>
    <xf numFmtId="0" fontId="0" fillId="12" borderId="75" xfId="0" applyFill="1" applyBorder="1" applyAlignment="1">
      <alignment horizontal="left"/>
    </xf>
    <xf numFmtId="0" fontId="0" fillId="12" borderId="90" xfId="0" applyFill="1" applyBorder="1" applyAlignment="1">
      <alignment horizontal="left"/>
    </xf>
    <xf numFmtId="171" fontId="3" fillId="0" borderId="42" xfId="3" applyNumberFormat="1" applyFill="1" applyBorder="1" applyAlignment="1" applyProtection="1">
      <alignment horizontal="center" vertical="center"/>
    </xf>
    <xf numFmtId="171" fontId="3" fillId="0" borderId="43" xfId="3" applyNumberFormat="1" applyFill="1" applyBorder="1" applyAlignment="1" applyProtection="1">
      <alignment horizontal="center" vertical="center"/>
    </xf>
    <xf numFmtId="171" fontId="3" fillId="0" borderId="56" xfId="3" applyNumberFormat="1" applyFill="1" applyBorder="1" applyAlignment="1" applyProtection="1">
      <alignment horizontal="center" vertical="center"/>
    </xf>
    <xf numFmtId="0" fontId="30" fillId="16" borderId="7" xfId="0" applyFont="1" applyFill="1" applyBorder="1" applyAlignment="1">
      <alignment horizontal="center"/>
    </xf>
    <xf numFmtId="0" fontId="30" fillId="16" borderId="10" xfId="0" applyFont="1" applyFill="1" applyBorder="1" applyAlignment="1">
      <alignment horizontal="center"/>
    </xf>
    <xf numFmtId="0" fontId="30" fillId="16" borderId="8" xfId="0" applyFont="1" applyFill="1" applyBorder="1" applyAlignment="1">
      <alignment horizontal="center"/>
    </xf>
    <xf numFmtId="0" fontId="8" fillId="16" borderId="35" xfId="0" applyFont="1" applyFill="1" applyBorder="1" applyAlignment="1" applyProtection="1">
      <alignment horizontal="center" vertical="center" wrapText="1"/>
    </xf>
    <xf numFmtId="0" fontId="16" fillId="17" borderId="54" xfId="0" applyFont="1" applyFill="1" applyBorder="1" applyAlignment="1" applyProtection="1">
      <alignment horizontal="left" vertical="top" wrapText="1"/>
    </xf>
    <xf numFmtId="172" fontId="12" fillId="14" borderId="11" xfId="0" applyNumberFormat="1" applyFont="1" applyFill="1" applyBorder="1" applyAlignment="1" applyProtection="1">
      <alignment horizontal="center" vertical="center" wrapText="1"/>
    </xf>
    <xf numFmtId="172" fontId="12" fillId="14" borderId="28" xfId="0" applyNumberFormat="1" applyFont="1" applyFill="1" applyBorder="1" applyAlignment="1" applyProtection="1">
      <alignment horizontal="center" vertical="center" wrapText="1"/>
    </xf>
    <xf numFmtId="172" fontId="12" fillId="14" borderId="11" xfId="0" applyNumberFormat="1" applyFont="1" applyFill="1" applyBorder="1" applyAlignment="1" applyProtection="1">
      <alignment horizontal="right" vertical="center" wrapText="1"/>
    </xf>
    <xf numFmtId="172" fontId="12" fillId="14" borderId="28" xfId="0" applyNumberFormat="1" applyFont="1" applyFill="1" applyBorder="1" applyAlignment="1" applyProtection="1">
      <alignment horizontal="right" vertical="center" wrapText="1"/>
    </xf>
    <xf numFmtId="172" fontId="12" fillId="16" borderId="83" xfId="0" applyNumberFormat="1" applyFont="1" applyFill="1" applyBorder="1" applyAlignment="1" applyProtection="1">
      <alignment horizontal="center" vertical="center" wrapText="1"/>
    </xf>
    <xf numFmtId="172" fontId="12" fillId="16" borderId="90" xfId="0" applyNumberFormat="1" applyFont="1" applyFill="1" applyBorder="1" applyAlignment="1" applyProtection="1">
      <alignment horizontal="center" vertical="center" wrapText="1"/>
    </xf>
    <xf numFmtId="0" fontId="8" fillId="16" borderId="92" xfId="0" applyFont="1" applyFill="1" applyBorder="1" applyAlignment="1" applyProtection="1">
      <alignment horizontal="center" vertical="center" wrapText="1"/>
    </xf>
    <xf numFmtId="9" fontId="12" fillId="16" borderId="49" xfId="2"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left" vertical="center" wrapText="1"/>
    </xf>
    <xf numFmtId="170" fontId="9" fillId="18" borderId="11" xfId="1" applyNumberFormat="1" applyFont="1" applyFill="1" applyBorder="1" applyAlignment="1" applyProtection="1">
      <alignment horizontal="right" vertical="center"/>
      <protection locked="0"/>
    </xf>
    <xf numFmtId="170" fontId="9" fillId="18" borderId="12" xfId="1" applyNumberFormat="1" applyFont="1" applyFill="1" applyBorder="1" applyAlignment="1" applyProtection="1">
      <alignment horizontal="right" vertical="center"/>
      <protection locked="0"/>
    </xf>
    <xf numFmtId="170" fontId="9" fillId="18" borderId="16" xfId="1" applyNumberFormat="1" applyFont="1" applyFill="1" applyBorder="1" applyAlignment="1" applyProtection="1">
      <alignment horizontal="right" vertical="center"/>
      <protection locked="0"/>
    </xf>
    <xf numFmtId="170" fontId="9" fillId="18" borderId="17" xfId="1" applyNumberFormat="1" applyFont="1" applyFill="1" applyBorder="1" applyAlignment="1" applyProtection="1">
      <alignment horizontal="right" vertical="center"/>
      <protection locked="0"/>
    </xf>
    <xf numFmtId="0" fontId="30" fillId="16" borderId="57" xfId="0" applyFont="1" applyFill="1" applyBorder="1" applyAlignment="1">
      <alignment horizontal="center"/>
    </xf>
    <xf numFmtId="0" fontId="0" fillId="14" borderId="63" xfId="0" applyFill="1" applyBorder="1" applyAlignment="1">
      <alignment horizontal="left"/>
    </xf>
    <xf numFmtId="0" fontId="0" fillId="14" borderId="64" xfId="0" applyFill="1" applyBorder="1" applyAlignment="1">
      <alignment horizontal="left"/>
    </xf>
    <xf numFmtId="0" fontId="0" fillId="18" borderId="3" xfId="0" applyFill="1" applyBorder="1" applyAlignment="1">
      <alignment horizontal="right"/>
    </xf>
    <xf numFmtId="172" fontId="0" fillId="14" borderId="11" xfId="0" applyNumberFormat="1" applyFill="1" applyBorder="1" applyAlignment="1">
      <alignment horizontal="center"/>
    </xf>
    <xf numFmtId="172" fontId="0" fillId="14" borderId="28" xfId="0" applyNumberFormat="1" applyFill="1" applyBorder="1" applyAlignment="1">
      <alignment horizontal="center"/>
    </xf>
    <xf numFmtId="172" fontId="0" fillId="14" borderId="83" xfId="0" applyNumberFormat="1" applyFill="1" applyBorder="1" applyAlignment="1">
      <alignment horizontal="center"/>
    </xf>
    <xf numFmtId="172" fontId="0" fillId="14" borderId="90" xfId="0" applyNumberFormat="1" applyFill="1" applyBorder="1" applyAlignment="1">
      <alignment horizontal="center"/>
    </xf>
    <xf numFmtId="0" fontId="30" fillId="16" borderId="35" xfId="0" applyFont="1" applyFill="1" applyBorder="1" applyAlignment="1">
      <alignment horizontal="center"/>
    </xf>
    <xf numFmtId="0" fontId="0" fillId="14" borderId="65" xfId="0" applyFill="1" applyBorder="1" applyAlignment="1">
      <alignment horizontal="left"/>
    </xf>
    <xf numFmtId="0" fontId="0" fillId="14" borderId="12" xfId="0" applyFill="1" applyBorder="1" applyAlignment="1">
      <alignment horizontal="left"/>
    </xf>
    <xf numFmtId="0" fontId="0" fillId="14" borderId="57" xfId="0" applyFill="1" applyBorder="1" applyAlignment="1">
      <alignment horizontal="left"/>
    </xf>
    <xf numFmtId="0" fontId="0" fillId="14" borderId="72" xfId="0" applyFill="1" applyBorder="1" applyAlignment="1">
      <alignment horizontal="left" vertical="center" wrapText="1"/>
    </xf>
    <xf numFmtId="0" fontId="0" fillId="14" borderId="30" xfId="0" applyFill="1" applyBorder="1" applyAlignment="1">
      <alignment horizontal="left" vertical="center" wrapText="1"/>
    </xf>
    <xf numFmtId="0" fontId="0" fillId="14" borderId="32" xfId="0" applyFill="1" applyBorder="1" applyAlignment="1">
      <alignment horizontal="left" vertical="center" wrapText="1"/>
    </xf>
    <xf numFmtId="0" fontId="0" fillId="18" borderId="1" xfId="0" applyFill="1" applyBorder="1" applyAlignment="1">
      <alignment horizontal="right"/>
    </xf>
    <xf numFmtId="172" fontId="0" fillId="18" borderId="57" xfId="1" applyNumberFormat="1" applyFont="1" applyFill="1" applyBorder="1" applyAlignment="1">
      <alignment horizontal="center"/>
    </xf>
    <xf numFmtId="0" fontId="0" fillId="18" borderId="3" xfId="0" applyFill="1" applyBorder="1" applyAlignment="1">
      <alignment horizontal="left"/>
    </xf>
    <xf numFmtId="0" fontId="4" fillId="16" borderId="45" xfId="0" applyFont="1" applyFill="1" applyBorder="1" applyAlignment="1">
      <alignment horizontal="center"/>
    </xf>
    <xf numFmtId="0" fontId="4" fillId="16" borderId="46" xfId="0" applyFont="1" applyFill="1" applyBorder="1" applyAlignment="1">
      <alignment horizontal="center"/>
    </xf>
  </cellXfs>
  <cellStyles count="5">
    <cellStyle name="Currency 2" xfId="4"/>
    <cellStyle name="Insatisfaisant" xfId="3" builtinId="27"/>
    <cellStyle name="Monétaire" xfId="1" builtinId="4"/>
    <cellStyle name="Normal" xfId="0" builtinId="0"/>
    <cellStyle name="Pourcentage" xfId="2" builtinId="5"/>
  </cellStyles>
  <dxfs count="108">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theme="0" tint="-0.49998474074526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09456"/>
        </patternFill>
      </fill>
      <border>
        <left style="thin">
          <color auto="1"/>
        </left>
        <right style="thin">
          <color auto="1"/>
        </right>
        <top style="thin">
          <color auto="1"/>
        </top>
        <bottom style="thin">
          <color auto="1"/>
        </bottom>
      </border>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theme="0" tint="-0.49998474074526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09456"/>
        </patternFill>
      </fill>
      <border>
        <left style="thin">
          <color auto="1"/>
        </left>
        <right style="thin">
          <color auto="1"/>
        </right>
        <top style="thin">
          <color auto="1"/>
        </top>
        <bottom style="thin">
          <color auto="1"/>
        </bottom>
      </border>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theme="0" tint="-0.499984740745262"/>
        </patternFill>
      </fill>
    </dxf>
    <dxf>
      <font>
        <color rgb="FF006100"/>
      </font>
      <fill>
        <patternFill>
          <bgColor rgb="FFC6EFCE"/>
        </patternFill>
      </fill>
    </dxf>
    <dxf>
      <fill>
        <patternFill>
          <bgColor rgb="FFF09456"/>
        </patternFill>
      </fill>
      <border>
        <left style="thin">
          <color auto="1"/>
        </left>
        <right style="thin">
          <color auto="1"/>
        </right>
        <top style="thin">
          <color auto="1"/>
        </top>
        <bottom style="thin">
          <color auto="1"/>
        </bottom>
      </border>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gradientFill degree="90">
          <stop position="0">
            <color rgb="FFFBE4D6"/>
          </stop>
          <stop position="1">
            <color rgb="FFFBE4D6"/>
          </stop>
        </gradientFill>
      </fill>
    </dxf>
    <dxf>
      <fill>
        <patternFill>
          <bgColor rgb="FFF09456"/>
        </patternFill>
      </fill>
      <border>
        <left style="thin">
          <color auto="1"/>
        </left>
        <right style="thin">
          <color auto="1"/>
        </right>
        <top style="thin">
          <color auto="1"/>
        </top>
        <bottom style="thin">
          <color auto="1"/>
        </bottom>
      </border>
    </dxf>
    <dxf>
      <fill>
        <patternFill>
          <bgColor rgb="FFF09456"/>
        </patternFill>
      </fill>
      <border>
        <left style="thin">
          <color auto="1"/>
        </left>
        <right style="thin">
          <color auto="1"/>
        </right>
        <top style="thin">
          <color auto="1"/>
        </top>
        <bottom style="thin">
          <color auto="1"/>
        </bottom>
      </border>
    </dxf>
    <dxf>
      <fill>
        <patternFill>
          <bgColor rgb="FFFFFF00"/>
        </patternFill>
      </fill>
    </dxf>
    <dxf>
      <fill>
        <gradientFill degree="90">
          <stop position="0">
            <color rgb="FFFBE4D6"/>
          </stop>
          <stop position="1">
            <color rgb="FFFBE4D6"/>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FF00"/>
        </patternFill>
      </fill>
    </dxf>
    <dxf>
      <fill>
        <gradientFill degree="90">
          <stop position="0">
            <color rgb="FFFBE4D6"/>
          </stop>
          <stop position="1">
            <color rgb="FFFBE4D6"/>
          </stop>
        </gradientFill>
      </fill>
    </dxf>
    <dxf>
      <fill>
        <patternFill>
          <bgColor rgb="FFF09456"/>
        </patternFill>
      </fill>
      <border>
        <left style="thin">
          <color auto="1"/>
        </left>
        <right style="thin">
          <color auto="1"/>
        </right>
        <top style="thin">
          <color auto="1"/>
        </top>
        <bottom style="thin">
          <color auto="1"/>
        </bottom>
      </border>
    </dxf>
    <dxf>
      <fill>
        <patternFill>
          <bgColor rgb="FFF09456"/>
        </patternFill>
      </fill>
      <border>
        <left style="thin">
          <color auto="1"/>
        </left>
        <right style="thin">
          <color auto="1"/>
        </right>
        <top style="thin">
          <color auto="1"/>
        </top>
        <bottom style="thin">
          <color auto="1"/>
        </bottom>
      </border>
    </dxf>
    <dxf>
      <fill>
        <patternFill>
          <bgColor rgb="FFFFFF00"/>
        </patternFill>
      </fill>
    </dxf>
    <dxf>
      <fill>
        <gradientFill degree="90">
          <stop position="0">
            <color rgb="FFFBE4D6"/>
          </stop>
          <stop position="1">
            <color rgb="FFFBE4D6"/>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24994659260841701"/>
      </font>
      <fill>
        <patternFill>
          <bgColor theme="9" tint="0.59996337778862885"/>
        </patternFill>
      </fill>
    </dxf>
    <dxf>
      <fill>
        <patternFill>
          <bgColor rgb="FFFFFF00"/>
        </patternFill>
      </fill>
    </dxf>
    <dxf>
      <fill>
        <patternFill>
          <bgColor rgb="FFFFFF00"/>
        </patternFill>
      </fill>
    </dxf>
    <dxf>
      <fill>
        <gradientFill degree="90">
          <stop position="0">
            <color rgb="FFFBE4D6"/>
          </stop>
          <stop position="1">
            <color rgb="FFFBE4D6"/>
          </stop>
        </gradientFill>
      </fill>
    </dxf>
    <dxf>
      <fill>
        <patternFill>
          <bgColor rgb="FFF09456"/>
        </patternFill>
      </fill>
      <border>
        <left style="thin">
          <color auto="1"/>
        </left>
        <right style="thin">
          <color auto="1"/>
        </right>
        <top style="thin">
          <color auto="1"/>
        </top>
        <bottom style="thin">
          <color auto="1"/>
        </bottom>
      </border>
    </dxf>
    <dxf>
      <fill>
        <patternFill>
          <bgColor rgb="FFF09456"/>
        </patternFill>
      </fill>
      <border>
        <left style="thin">
          <color auto="1"/>
        </left>
        <right style="thin">
          <color auto="1"/>
        </right>
        <top style="thin">
          <color auto="1"/>
        </top>
        <bottom style="thin">
          <color auto="1"/>
        </bottom>
      </border>
    </dxf>
    <dxf>
      <fill>
        <patternFill>
          <bgColor rgb="FFFFFF00"/>
        </patternFill>
      </fill>
    </dxf>
    <dxf>
      <fill>
        <gradientFill degree="90">
          <stop position="0">
            <color rgb="FFFBE4D6"/>
          </stop>
          <stop position="1">
            <color rgb="FFFBE4D6"/>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FF00"/>
        </patternFill>
      </fill>
    </dxf>
    <dxf>
      <fill>
        <gradientFill degree="90">
          <stop position="0">
            <color rgb="FFFBE4D6"/>
          </stop>
          <stop position="1">
            <color rgb="FFFBE4D6"/>
          </stop>
        </gradientFill>
      </fill>
    </dxf>
    <dxf>
      <fill>
        <patternFill>
          <bgColor rgb="FFF09456"/>
        </patternFill>
      </fill>
      <border>
        <left style="thin">
          <color auto="1"/>
        </left>
        <right style="thin">
          <color auto="1"/>
        </right>
        <top style="thin">
          <color auto="1"/>
        </top>
        <bottom style="thin">
          <color auto="1"/>
        </bottom>
      </border>
    </dxf>
    <dxf>
      <fill>
        <patternFill>
          <bgColor rgb="FFF09456"/>
        </patternFill>
      </fill>
      <border>
        <left style="thin">
          <color auto="1"/>
        </left>
        <right style="thin">
          <color auto="1"/>
        </right>
        <top style="thin">
          <color auto="1"/>
        </top>
        <bottom style="thin">
          <color auto="1"/>
        </bottom>
      </border>
    </dxf>
    <dxf>
      <fill>
        <patternFill>
          <bgColor rgb="FFFFFF00"/>
        </patternFill>
      </fill>
    </dxf>
    <dxf>
      <fill>
        <gradientFill degree="90">
          <stop position="0">
            <color rgb="FFFBE4D6"/>
          </stop>
          <stop position="1">
            <color rgb="FFFBE4D6"/>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D7D"/>
      <color rgb="FFEDEA58"/>
      <color rgb="FFFF4343"/>
      <color rgb="FFF195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9.png"/><Relationship Id="rId5" Type="http://schemas.openxmlformats.org/officeDocument/2006/relationships/image" Target="../media/image13.png"/><Relationship Id="rId4"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2</xdr:col>
      <xdr:colOff>1577340</xdr:colOff>
      <xdr:row>21</xdr:row>
      <xdr:rowOff>175260</xdr:rowOff>
    </xdr:from>
    <xdr:to>
      <xdr:col>3</xdr:col>
      <xdr:colOff>426720</xdr:colOff>
      <xdr:row>34</xdr:row>
      <xdr:rowOff>30480</xdr:rowOff>
    </xdr:to>
    <xdr:sp macro="" textlink="">
      <xdr:nvSpPr>
        <xdr:cNvPr id="2" name="Arrow: Striped Right 1">
          <a:extLst>
            <a:ext uri="{FF2B5EF4-FFF2-40B4-BE49-F238E27FC236}">
              <a16:creationId xmlns:a16="http://schemas.microsoft.com/office/drawing/2014/main" id="{40F9E88A-993C-4D37-89CF-A0DE2EE5FA63}"/>
            </a:ext>
          </a:extLst>
        </xdr:cNvPr>
        <xdr:cNvSpPr/>
      </xdr:nvSpPr>
      <xdr:spPr>
        <a:xfrm rot="5400000">
          <a:off x="3909060" y="4884420"/>
          <a:ext cx="2232660" cy="67818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23</xdr:row>
      <xdr:rowOff>99060</xdr:rowOff>
    </xdr:from>
    <xdr:to>
      <xdr:col>4</xdr:col>
      <xdr:colOff>487680</xdr:colOff>
      <xdr:row>35</xdr:row>
      <xdr:rowOff>137160</xdr:rowOff>
    </xdr:to>
    <xdr:sp macro="" textlink="">
      <xdr:nvSpPr>
        <xdr:cNvPr id="2" name="Arrow: Striped Right 1">
          <a:extLst>
            <a:ext uri="{FF2B5EF4-FFF2-40B4-BE49-F238E27FC236}">
              <a16:creationId xmlns:a16="http://schemas.microsoft.com/office/drawing/2014/main" id="{5A59C293-BFEF-4C52-977D-677AC7785F07}"/>
            </a:ext>
          </a:extLst>
        </xdr:cNvPr>
        <xdr:cNvSpPr/>
      </xdr:nvSpPr>
      <xdr:spPr>
        <a:xfrm rot="5400000">
          <a:off x="3413760" y="4808220"/>
          <a:ext cx="2232660" cy="67818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167640</xdr:colOff>
      <xdr:row>21</xdr:row>
      <xdr:rowOff>137160</xdr:rowOff>
    </xdr:from>
    <xdr:to>
      <xdr:col>4</xdr:col>
      <xdr:colOff>236220</xdr:colOff>
      <xdr:row>33</xdr:row>
      <xdr:rowOff>175260</xdr:rowOff>
    </xdr:to>
    <xdr:sp macro="" textlink="">
      <xdr:nvSpPr>
        <xdr:cNvPr id="2" name="Arrow: Striped Right 1">
          <a:extLst>
            <a:ext uri="{FF2B5EF4-FFF2-40B4-BE49-F238E27FC236}">
              <a16:creationId xmlns:a16="http://schemas.microsoft.com/office/drawing/2014/main" id="{9030055C-4485-48B2-BDEC-BB82A33EBC6E}"/>
            </a:ext>
          </a:extLst>
        </xdr:cNvPr>
        <xdr:cNvSpPr/>
      </xdr:nvSpPr>
      <xdr:spPr>
        <a:xfrm rot="5400000">
          <a:off x="3139440" y="4846320"/>
          <a:ext cx="2232660" cy="67818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129540</xdr:colOff>
      <xdr:row>23</xdr:row>
      <xdr:rowOff>38100</xdr:rowOff>
    </xdr:from>
    <xdr:to>
      <xdr:col>4</xdr:col>
      <xdr:colOff>198120</xdr:colOff>
      <xdr:row>35</xdr:row>
      <xdr:rowOff>76200</xdr:rowOff>
    </xdr:to>
    <xdr:sp macro="" textlink="">
      <xdr:nvSpPr>
        <xdr:cNvPr id="5" name="Arrow: Striped Right 4">
          <a:extLst>
            <a:ext uri="{FF2B5EF4-FFF2-40B4-BE49-F238E27FC236}">
              <a16:creationId xmlns:a16="http://schemas.microsoft.com/office/drawing/2014/main" id="{F910F787-4E1A-467E-8998-075B6A79008E}"/>
            </a:ext>
          </a:extLst>
        </xdr:cNvPr>
        <xdr:cNvSpPr/>
      </xdr:nvSpPr>
      <xdr:spPr>
        <a:xfrm rot="5400000">
          <a:off x="2674620" y="4930140"/>
          <a:ext cx="2232660" cy="678180"/>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860163</xdr:colOff>
      <xdr:row>1</xdr:row>
      <xdr:rowOff>14833</xdr:rowOff>
    </xdr:from>
    <xdr:to>
      <xdr:col>7</xdr:col>
      <xdr:colOff>1310901</xdr:colOff>
      <xdr:row>6</xdr:row>
      <xdr:rowOff>60521</xdr:rowOff>
    </xdr:to>
    <xdr:pic>
      <xdr:nvPicPr>
        <xdr:cNvPr id="2" name="Picture 1" descr="Image result for TransmedTech">
          <a:extLst>
            <a:ext uri="{FF2B5EF4-FFF2-40B4-BE49-F238E27FC236}">
              <a16:creationId xmlns:a16="http://schemas.microsoft.com/office/drawing/2014/main" id="{2367D7BE-E716-4C97-9A6C-87066E3ABE9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99" b="5216"/>
        <a:stretch/>
      </xdr:blipFill>
      <xdr:spPr bwMode="auto">
        <a:xfrm>
          <a:off x="9539343" y="197713"/>
          <a:ext cx="1754393" cy="96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38621</xdr:colOff>
      <xdr:row>1</xdr:row>
      <xdr:rowOff>68580</xdr:rowOff>
    </xdr:from>
    <xdr:to>
      <xdr:col>4</xdr:col>
      <xdr:colOff>434340</xdr:colOff>
      <xdr:row>5</xdr:row>
      <xdr:rowOff>15790</xdr:rowOff>
    </xdr:to>
    <xdr:pic>
      <xdr:nvPicPr>
        <xdr:cNvPr id="3" name="Picture 2" descr="Image result for MEDTEQ">
          <a:extLst>
            <a:ext uri="{FF2B5EF4-FFF2-40B4-BE49-F238E27FC236}">
              <a16:creationId xmlns:a16="http://schemas.microsoft.com/office/drawing/2014/main" id="{EFEAF6BB-AE0E-4BAB-A0FB-99111745B8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5721" y="251460"/>
          <a:ext cx="3237979" cy="681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347831</xdr:colOff>
      <xdr:row>1</xdr:row>
      <xdr:rowOff>80888</xdr:rowOff>
    </xdr:from>
    <xdr:to>
      <xdr:col>9</xdr:col>
      <xdr:colOff>441661</xdr:colOff>
      <xdr:row>5</xdr:row>
      <xdr:rowOff>152399</xdr:rowOff>
    </xdr:to>
    <xdr:pic>
      <xdr:nvPicPr>
        <xdr:cNvPr id="4" name="Picture 3" descr="Image result for sociÃ©tÃ© de recherche sur le cancer logo">
          <a:extLst>
            <a:ext uri="{FF2B5EF4-FFF2-40B4-BE49-F238E27FC236}">
              <a16:creationId xmlns:a16="http://schemas.microsoft.com/office/drawing/2014/main" id="{05F38199-CC30-483F-8032-A6B6CACF7C0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7481" b="39332"/>
        <a:stretch/>
      </xdr:blipFill>
      <xdr:spPr bwMode="auto">
        <a:xfrm>
          <a:off x="11770211" y="263768"/>
          <a:ext cx="2246106" cy="803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434340</xdr:colOff>
      <xdr:row>1</xdr:row>
      <xdr:rowOff>53341</xdr:rowOff>
    </xdr:from>
    <xdr:to>
      <xdr:col>1</xdr:col>
      <xdr:colOff>2644140</xdr:colOff>
      <xdr:row>5</xdr:row>
      <xdr:rowOff>15324</xdr:rowOff>
    </xdr:to>
    <xdr:pic>
      <xdr:nvPicPr>
        <xdr:cNvPr id="5" name="Picture 4" descr="Image result for fond recherche santÃ© logo">
          <a:extLst>
            <a:ext uri="{FF2B5EF4-FFF2-40B4-BE49-F238E27FC236}">
              <a16:creationId xmlns:a16="http://schemas.microsoft.com/office/drawing/2014/main" id="{5F85C7C4-A3BA-480B-82E3-D2BBCC328B2B}"/>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260" t="17039" r="5796" b="9737"/>
        <a:stretch/>
      </xdr:blipFill>
      <xdr:spPr bwMode="auto">
        <a:xfrm>
          <a:off x="1043940" y="236221"/>
          <a:ext cx="2202180" cy="698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403859</xdr:colOff>
      <xdr:row>0</xdr:row>
      <xdr:rowOff>129540</xdr:rowOff>
    </xdr:from>
    <xdr:to>
      <xdr:col>6</xdr:col>
      <xdr:colOff>739709</xdr:colOff>
      <xdr:row>5</xdr:row>
      <xdr:rowOff>152400</xdr:rowOff>
    </xdr:to>
    <xdr:pic>
      <xdr:nvPicPr>
        <xdr:cNvPr id="6" name="Picture 5" descr="Image result for oncopole logo">
          <a:extLst>
            <a:ext uri="{FF2B5EF4-FFF2-40B4-BE49-F238E27FC236}">
              <a16:creationId xmlns:a16="http://schemas.microsoft.com/office/drawing/2014/main" id="{8B58AD9C-2D91-488E-A2A3-C17563FC084A}"/>
            </a:ext>
          </a:extLst>
        </xdr:cNvPr>
        <xdr:cNvPicPr>
          <a:picLocks noChangeAspect="1" noChangeArrowheads="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Effect>
                    <a14:saturation sat="101000"/>
                  </a14:imgEffect>
                </a14:imgLayer>
              </a14:imgProps>
            </a:ext>
            <a:ext uri="{28A0092B-C50C-407E-A947-70E740481C1C}">
              <a14:useLocalDpi xmlns:a14="http://schemas.microsoft.com/office/drawing/2010/main" val="0"/>
            </a:ext>
          </a:extLst>
        </a:blip>
        <a:srcRect/>
        <a:stretch>
          <a:fillRect/>
        </a:stretch>
      </xdr:blipFill>
      <xdr:spPr bwMode="auto">
        <a:xfrm>
          <a:off x="6705599" y="129540"/>
          <a:ext cx="2708845"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860163</xdr:colOff>
      <xdr:row>1</xdr:row>
      <xdr:rowOff>14833</xdr:rowOff>
    </xdr:from>
    <xdr:to>
      <xdr:col>7</xdr:col>
      <xdr:colOff>1317251</xdr:colOff>
      <xdr:row>6</xdr:row>
      <xdr:rowOff>55441</xdr:rowOff>
    </xdr:to>
    <xdr:pic>
      <xdr:nvPicPr>
        <xdr:cNvPr id="2" name="Picture 1" descr="Image result for TransmedTech">
          <a:extLst>
            <a:ext uri="{FF2B5EF4-FFF2-40B4-BE49-F238E27FC236}">
              <a16:creationId xmlns:a16="http://schemas.microsoft.com/office/drawing/2014/main" id="{293F1DED-BA14-4B7F-8DB4-7ECCA2931D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99" b="5216"/>
        <a:stretch/>
      </xdr:blipFill>
      <xdr:spPr bwMode="auto">
        <a:xfrm>
          <a:off x="9539343" y="197713"/>
          <a:ext cx="1754393" cy="962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38621</xdr:colOff>
      <xdr:row>1</xdr:row>
      <xdr:rowOff>68580</xdr:rowOff>
    </xdr:from>
    <xdr:to>
      <xdr:col>4</xdr:col>
      <xdr:colOff>434340</xdr:colOff>
      <xdr:row>5</xdr:row>
      <xdr:rowOff>18330</xdr:rowOff>
    </xdr:to>
    <xdr:pic>
      <xdr:nvPicPr>
        <xdr:cNvPr id="3" name="Picture 2" descr="Image result for MEDTEQ">
          <a:extLst>
            <a:ext uri="{FF2B5EF4-FFF2-40B4-BE49-F238E27FC236}">
              <a16:creationId xmlns:a16="http://schemas.microsoft.com/office/drawing/2014/main" id="{6EECCDB4-FE28-43E6-AAE4-2506A3BAF9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5721" y="251460"/>
          <a:ext cx="3237979" cy="681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347831</xdr:colOff>
      <xdr:row>1</xdr:row>
      <xdr:rowOff>80888</xdr:rowOff>
    </xdr:from>
    <xdr:to>
      <xdr:col>9</xdr:col>
      <xdr:colOff>589877</xdr:colOff>
      <xdr:row>5</xdr:row>
      <xdr:rowOff>152399</xdr:rowOff>
    </xdr:to>
    <xdr:pic>
      <xdr:nvPicPr>
        <xdr:cNvPr id="4" name="Picture 3" descr="Image result for sociÃ©tÃ© de recherche sur le cancer logo">
          <a:extLst>
            <a:ext uri="{FF2B5EF4-FFF2-40B4-BE49-F238E27FC236}">
              <a16:creationId xmlns:a16="http://schemas.microsoft.com/office/drawing/2014/main" id="{72B3C7AE-9C67-4635-9732-5439ADE39D8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7481" b="39332"/>
        <a:stretch/>
      </xdr:blipFill>
      <xdr:spPr bwMode="auto">
        <a:xfrm>
          <a:off x="11770211" y="263768"/>
          <a:ext cx="2246106" cy="803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434340</xdr:colOff>
      <xdr:row>1</xdr:row>
      <xdr:rowOff>53341</xdr:rowOff>
    </xdr:from>
    <xdr:to>
      <xdr:col>1</xdr:col>
      <xdr:colOff>2647950</xdr:colOff>
      <xdr:row>5</xdr:row>
      <xdr:rowOff>20404</xdr:rowOff>
    </xdr:to>
    <xdr:pic>
      <xdr:nvPicPr>
        <xdr:cNvPr id="5" name="Picture 4" descr="Image result for fond recherche santÃ© logo">
          <a:extLst>
            <a:ext uri="{FF2B5EF4-FFF2-40B4-BE49-F238E27FC236}">
              <a16:creationId xmlns:a16="http://schemas.microsoft.com/office/drawing/2014/main" id="{EF8347C8-9D3E-4CEB-A5DD-4923CF271CF4}"/>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260" t="17039" r="5796" b="9737"/>
        <a:stretch/>
      </xdr:blipFill>
      <xdr:spPr bwMode="auto">
        <a:xfrm>
          <a:off x="1043940" y="236221"/>
          <a:ext cx="2202180" cy="698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403859</xdr:colOff>
      <xdr:row>0</xdr:row>
      <xdr:rowOff>129540</xdr:rowOff>
    </xdr:from>
    <xdr:to>
      <xdr:col>6</xdr:col>
      <xdr:colOff>740979</xdr:colOff>
      <xdr:row>5</xdr:row>
      <xdr:rowOff>152400</xdr:rowOff>
    </xdr:to>
    <xdr:pic>
      <xdr:nvPicPr>
        <xdr:cNvPr id="6" name="Picture 5" descr="Image result for oncopole logo">
          <a:extLst>
            <a:ext uri="{FF2B5EF4-FFF2-40B4-BE49-F238E27FC236}">
              <a16:creationId xmlns:a16="http://schemas.microsoft.com/office/drawing/2014/main" id="{E44F49D1-0676-43F6-8B0B-DAF6829A7307}"/>
            </a:ext>
          </a:extLst>
        </xdr:cNvPr>
        <xdr:cNvPicPr>
          <a:picLocks noChangeAspect="1" noChangeArrowheads="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Effect>
                    <a14:saturation sat="101000"/>
                  </a14:imgEffect>
                </a14:imgLayer>
              </a14:imgProps>
            </a:ext>
            <a:ext uri="{28A0092B-C50C-407E-A947-70E740481C1C}">
              <a14:useLocalDpi xmlns:a14="http://schemas.microsoft.com/office/drawing/2010/main" val="0"/>
            </a:ext>
          </a:extLst>
        </a:blip>
        <a:srcRect/>
        <a:stretch>
          <a:fillRect/>
        </a:stretch>
      </xdr:blipFill>
      <xdr:spPr bwMode="auto">
        <a:xfrm>
          <a:off x="6705599" y="129540"/>
          <a:ext cx="2708845"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568366</xdr:colOff>
      <xdr:row>0</xdr:row>
      <xdr:rowOff>165161</xdr:rowOff>
    </xdr:from>
    <xdr:to>
      <xdr:col>7</xdr:col>
      <xdr:colOff>114602</xdr:colOff>
      <xdr:row>6</xdr:row>
      <xdr:rowOff>17202</xdr:rowOff>
    </xdr:to>
    <xdr:pic>
      <xdr:nvPicPr>
        <xdr:cNvPr id="3" name="Picture 2" descr="Image result for TransmedTech">
          <a:extLst>
            <a:ext uri="{FF2B5EF4-FFF2-40B4-BE49-F238E27FC236}">
              <a16:creationId xmlns:a16="http://schemas.microsoft.com/office/drawing/2014/main" id="{92AD95F4-8593-4F2B-B99D-73782C8181D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99" b="5216"/>
        <a:stretch/>
      </xdr:blipFill>
      <xdr:spPr bwMode="auto">
        <a:xfrm>
          <a:off x="9927714" y="165161"/>
          <a:ext cx="1749410" cy="94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2848993</xdr:colOff>
      <xdr:row>1</xdr:row>
      <xdr:rowOff>91243</xdr:rowOff>
    </xdr:from>
    <xdr:to>
      <xdr:col>4</xdr:col>
      <xdr:colOff>19132</xdr:colOff>
      <xdr:row>5</xdr:row>
      <xdr:rowOff>22168</xdr:rowOff>
    </xdr:to>
    <xdr:pic>
      <xdr:nvPicPr>
        <xdr:cNvPr id="4" name="Picture 3" descr="Image result for MEDTEQ">
          <a:extLst>
            <a:ext uri="{FF2B5EF4-FFF2-40B4-BE49-F238E27FC236}">
              <a16:creationId xmlns:a16="http://schemas.microsoft.com/office/drawing/2014/main" id="{F3327B3A-E0E9-414E-8FAC-3C19A2F0E7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61906" y="273460"/>
          <a:ext cx="3155898" cy="667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662569</xdr:colOff>
      <xdr:row>1</xdr:row>
      <xdr:rowOff>103169</xdr:rowOff>
    </xdr:from>
    <xdr:to>
      <xdr:col>8</xdr:col>
      <xdr:colOff>1432163</xdr:colOff>
      <xdr:row>5</xdr:row>
      <xdr:rowOff>174680</xdr:rowOff>
    </xdr:to>
    <xdr:pic>
      <xdr:nvPicPr>
        <xdr:cNvPr id="5" name="Picture 4" descr="Image result for sociÃ©tÃ© de recherche sur le cancer logo">
          <a:extLst>
            <a:ext uri="{FF2B5EF4-FFF2-40B4-BE49-F238E27FC236}">
              <a16:creationId xmlns:a16="http://schemas.microsoft.com/office/drawing/2014/main" id="{75E51C35-CDBA-4DC0-A73B-D31662EA037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7481" b="39332"/>
        <a:stretch/>
      </xdr:blipFill>
      <xdr:spPr bwMode="auto">
        <a:xfrm>
          <a:off x="12225091" y="285386"/>
          <a:ext cx="2231143" cy="79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173106</xdr:colOff>
      <xdr:row>1</xdr:row>
      <xdr:rowOff>57151</xdr:rowOff>
    </xdr:from>
    <xdr:to>
      <xdr:col>1</xdr:col>
      <xdr:colOff>2379096</xdr:colOff>
      <xdr:row>5</xdr:row>
      <xdr:rowOff>15324</xdr:rowOff>
    </xdr:to>
    <xdr:pic>
      <xdr:nvPicPr>
        <xdr:cNvPr id="6" name="Picture 5" descr="Image result for fond recherche santÃ© logo">
          <a:extLst>
            <a:ext uri="{FF2B5EF4-FFF2-40B4-BE49-F238E27FC236}">
              <a16:creationId xmlns:a16="http://schemas.microsoft.com/office/drawing/2014/main" id="{64D77CE6-1E10-46E1-AB52-E97BCF781BE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260" t="17039" r="5796" b="9737"/>
        <a:stretch/>
      </xdr:blipFill>
      <xdr:spPr bwMode="auto">
        <a:xfrm>
          <a:off x="786019" y="239368"/>
          <a:ext cx="2209800" cy="690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275809</xdr:colOff>
      <xdr:row>1</xdr:row>
      <xdr:rowOff>63646</xdr:rowOff>
    </xdr:from>
    <xdr:to>
      <xdr:col>6</xdr:col>
      <xdr:colOff>320874</xdr:colOff>
      <xdr:row>5</xdr:row>
      <xdr:rowOff>57316</xdr:rowOff>
    </xdr:to>
    <xdr:pic>
      <xdr:nvPicPr>
        <xdr:cNvPr id="2" name="Picture 1">
          <a:extLst>
            <a:ext uri="{FF2B5EF4-FFF2-40B4-BE49-F238E27FC236}">
              <a16:creationId xmlns:a16="http://schemas.microsoft.com/office/drawing/2014/main" id="{07C30D34-622A-41AC-9F45-9B32B64D902B}"/>
            </a:ext>
          </a:extLst>
        </xdr:cNvPr>
        <xdr:cNvPicPr>
          <a:picLocks noChangeAspect="1"/>
        </xdr:cNvPicPr>
      </xdr:nvPicPr>
      <xdr:blipFill>
        <a:blip xmlns:r="http://schemas.openxmlformats.org/officeDocument/2006/relationships" r:embed="rId5"/>
        <a:stretch>
          <a:fillRect/>
        </a:stretch>
      </xdr:blipFill>
      <xdr:spPr>
        <a:xfrm>
          <a:off x="6901896" y="245863"/>
          <a:ext cx="2766896" cy="7187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_PROGRAMMES\6_Oncopole\Oncopole%20simulateur%20-%20in%20progres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EDTEQ_2_BUDGET-PROJECT_CODE-en%20travaux-noFG-portra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TRL1-3"/>
      <sheetName val="TRL4-6"/>
      <sheetName val="iTMT TRL1-3"/>
      <sheetName val="iTMT TRL4-6"/>
      <sheetName val="Budget de projet"/>
      <sheetName val="Données"/>
    </sheetNames>
    <sheetDataSet>
      <sheetData sheetId="0">
        <row r="4">
          <cell r="M4" t="str">
            <v>Montant ($)</v>
          </cell>
        </row>
        <row r="6">
          <cell r="M6">
            <v>0</v>
          </cell>
        </row>
        <row r="8">
          <cell r="M8">
            <v>0</v>
          </cell>
        </row>
      </sheetData>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TEQ - Budget"/>
      <sheetName val="MESI"/>
      <sheetName val="Formulas"/>
      <sheetName val="FRA"/>
      <sheetName val="ENG"/>
      <sheetName val="Données"/>
      <sheetName val="Optimisation"/>
    </sheetNames>
    <sheetDataSet>
      <sheetData sheetId="0" refreshError="1"/>
      <sheetData sheetId="1" refreshError="1"/>
      <sheetData sheetId="2" refreshError="1"/>
      <sheetData sheetId="3" refreshError="1"/>
      <sheetData sheetId="4" refreshError="1"/>
      <sheetData sheetId="5" refreshError="1">
        <row r="13">
          <cell r="R13">
            <v>7500</v>
          </cell>
        </row>
        <row r="19">
          <cell r="R19">
            <v>6000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84"/>
  <sheetViews>
    <sheetView topLeftCell="D19" workbookViewId="0">
      <selection activeCell="B77" sqref="B77:H78"/>
    </sheetView>
  </sheetViews>
  <sheetFormatPr baseColWidth="10" defaultColWidth="11.5703125" defaultRowHeight="15" x14ac:dyDescent="0.25"/>
  <cols>
    <col min="3" max="3" width="26.85546875" bestFit="1" customWidth="1"/>
    <col min="4" max="4" width="30" customWidth="1"/>
    <col min="5" max="5" width="14.140625" bestFit="1" customWidth="1"/>
    <col min="6" max="6" width="14.7109375" customWidth="1"/>
    <col min="7" max="7" width="14.5703125" customWidth="1"/>
    <col min="8" max="8" width="48.7109375" bestFit="1" customWidth="1"/>
    <col min="9" max="9" width="13.85546875" customWidth="1"/>
    <col min="10" max="10" width="17.28515625" customWidth="1"/>
    <col min="11" max="11" width="36" customWidth="1"/>
    <col min="12" max="12" width="13.5703125" bestFit="1" customWidth="1"/>
    <col min="14" max="14" width="14.85546875" customWidth="1"/>
  </cols>
  <sheetData>
    <row r="1" spans="2:15" x14ac:dyDescent="0.25">
      <c r="F1" s="370" t="s">
        <v>33</v>
      </c>
      <c r="G1" s="370"/>
      <c r="M1" s="370" t="s">
        <v>12</v>
      </c>
      <c r="N1" s="370"/>
    </row>
    <row r="3" spans="2:15" x14ac:dyDescent="0.25">
      <c r="E3" s="371" t="s">
        <v>8</v>
      </c>
      <c r="F3" s="371"/>
      <c r="G3" s="371" t="s">
        <v>9</v>
      </c>
      <c r="H3" s="371"/>
      <c r="L3" s="371" t="s">
        <v>8</v>
      </c>
      <c r="M3" s="371"/>
      <c r="N3" s="371" t="s">
        <v>9</v>
      </c>
      <c r="O3" s="371"/>
    </row>
    <row r="4" spans="2:15" x14ac:dyDescent="0.25">
      <c r="E4" s="10" t="s">
        <v>5</v>
      </c>
      <c r="F4" s="10" t="s">
        <v>7</v>
      </c>
      <c r="G4" s="10" t="s">
        <v>10</v>
      </c>
      <c r="H4" s="10" t="s">
        <v>7</v>
      </c>
      <c r="L4" s="2" t="s">
        <v>5</v>
      </c>
      <c r="M4" s="2" t="s">
        <v>7</v>
      </c>
      <c r="N4" s="2" t="s">
        <v>10</v>
      </c>
      <c r="O4" s="2" t="s">
        <v>7</v>
      </c>
    </row>
    <row r="5" spans="2:15" x14ac:dyDescent="0.25">
      <c r="C5" s="373" t="s">
        <v>13</v>
      </c>
      <c r="D5" s="1" t="s">
        <v>0</v>
      </c>
      <c r="E5" s="372"/>
      <c r="F5" s="372"/>
      <c r="G5" s="1"/>
      <c r="H5" s="1"/>
      <c r="J5" s="375" t="s">
        <v>13</v>
      </c>
      <c r="K5" s="1" t="s">
        <v>0</v>
      </c>
      <c r="L5" s="372"/>
      <c r="M5" s="372"/>
      <c r="N5" s="1"/>
      <c r="O5" s="1"/>
    </row>
    <row r="6" spans="2:15" x14ac:dyDescent="0.25">
      <c r="C6" s="374"/>
      <c r="D6" s="1" t="s">
        <v>11</v>
      </c>
      <c r="E6" s="3">
        <v>0.4</v>
      </c>
      <c r="F6" s="12">
        <f>E6*F12</f>
        <v>0</v>
      </c>
      <c r="G6" s="1"/>
      <c r="H6" s="1"/>
      <c r="J6" s="375"/>
      <c r="K6" s="1" t="s">
        <v>11</v>
      </c>
      <c r="L6" s="3">
        <v>0.2</v>
      </c>
      <c r="M6" s="1"/>
      <c r="N6" s="1"/>
      <c r="O6" s="1"/>
    </row>
    <row r="7" spans="2:15" x14ac:dyDescent="0.25">
      <c r="C7" s="375" t="s">
        <v>14</v>
      </c>
      <c r="D7" s="1" t="s">
        <v>16</v>
      </c>
      <c r="E7" s="5">
        <f>750000/4</f>
        <v>187500</v>
      </c>
      <c r="F7" s="5"/>
      <c r="G7" s="1"/>
      <c r="H7" s="1"/>
      <c r="J7" s="375" t="s">
        <v>14</v>
      </c>
      <c r="K7" s="1" t="s">
        <v>1</v>
      </c>
      <c r="L7" s="1"/>
      <c r="M7" s="1"/>
      <c r="N7" s="1"/>
      <c r="O7" s="1"/>
    </row>
    <row r="8" spans="2:15" x14ac:dyDescent="0.25">
      <c r="C8" s="375"/>
      <c r="D8" s="1" t="s">
        <v>27</v>
      </c>
      <c r="E8" s="5">
        <f>225000-E7</f>
        <v>37500</v>
      </c>
      <c r="F8" s="5"/>
      <c r="G8" s="1"/>
      <c r="H8" s="1"/>
      <c r="J8" s="375"/>
      <c r="K8" s="1" t="s">
        <v>2</v>
      </c>
      <c r="L8" s="1"/>
      <c r="M8" s="1"/>
      <c r="N8" s="1"/>
      <c r="O8" s="1"/>
    </row>
    <row r="9" spans="2:15" x14ac:dyDescent="0.25">
      <c r="B9">
        <f>20/100*20/100</f>
        <v>0.04</v>
      </c>
      <c r="C9" s="375"/>
      <c r="D9" s="19" t="s">
        <v>17</v>
      </c>
      <c r="E9" s="1"/>
      <c r="F9" s="12">
        <f>F11*0.04</f>
        <v>0</v>
      </c>
      <c r="G9" s="1"/>
      <c r="H9" s="1"/>
      <c r="J9" s="375"/>
      <c r="K9" s="1" t="s">
        <v>4</v>
      </c>
      <c r="L9" s="1"/>
      <c r="M9" s="1"/>
      <c r="N9" s="1"/>
      <c r="O9" s="1"/>
    </row>
    <row r="10" spans="2:15" x14ac:dyDescent="0.25">
      <c r="C10" s="4" t="s">
        <v>15</v>
      </c>
      <c r="D10" s="1" t="s">
        <v>3</v>
      </c>
      <c r="E10" s="7"/>
      <c r="F10" s="7"/>
      <c r="G10" s="1"/>
      <c r="H10" s="1"/>
      <c r="J10" s="4" t="s">
        <v>15</v>
      </c>
      <c r="K10" s="1" t="s">
        <v>3</v>
      </c>
      <c r="L10" s="1"/>
      <c r="M10" s="1"/>
      <c r="N10" s="1"/>
      <c r="O10" s="1"/>
    </row>
    <row r="11" spans="2:15" x14ac:dyDescent="0.25">
      <c r="D11" s="1" t="s">
        <v>6</v>
      </c>
      <c r="E11" s="7"/>
      <c r="F11" s="5"/>
      <c r="G11" s="1"/>
      <c r="H11" s="1"/>
      <c r="K11" s="1" t="s">
        <v>6</v>
      </c>
      <c r="L11" s="1"/>
      <c r="M11" s="1"/>
      <c r="N11" s="1"/>
      <c r="O11" s="1"/>
    </row>
    <row r="12" spans="2:15" x14ac:dyDescent="0.25">
      <c r="D12" s="16" t="s">
        <v>26</v>
      </c>
      <c r="E12" s="1"/>
      <c r="F12" s="12">
        <f>F11*5%</f>
        <v>0</v>
      </c>
      <c r="G12" s="1"/>
      <c r="H12" s="1"/>
    </row>
    <row r="14" spans="2:15" x14ac:dyDescent="0.25">
      <c r="D14" s="11" t="s">
        <v>18</v>
      </c>
      <c r="E14" s="8"/>
      <c r="F14" s="9"/>
      <c r="H14" t="s">
        <v>29</v>
      </c>
      <c r="K14" t="s">
        <v>36</v>
      </c>
      <c r="L14" s="6">
        <f>150000/4</f>
        <v>37500</v>
      </c>
    </row>
    <row r="15" spans="2:15" x14ac:dyDescent="0.25">
      <c r="D15" s="1" t="s">
        <v>19</v>
      </c>
      <c r="E15" s="1"/>
      <c r="F15" s="20">
        <v>0.4</v>
      </c>
      <c r="G15" s="1"/>
      <c r="H15" s="9">
        <f>SUM(H16:H17)</f>
        <v>225000</v>
      </c>
      <c r="K15" t="s">
        <v>34</v>
      </c>
    </row>
    <row r="16" spans="2:15" x14ac:dyDescent="0.25">
      <c r="C16" t="s">
        <v>38</v>
      </c>
      <c r="D16" s="1" t="s">
        <v>35</v>
      </c>
      <c r="E16" s="3">
        <v>0.8</v>
      </c>
      <c r="F16" s="368" t="s">
        <v>37</v>
      </c>
      <c r="G16" s="12">
        <f>F11</f>
        <v>0</v>
      </c>
      <c r="H16" s="6">
        <v>187500</v>
      </c>
      <c r="J16" s="9"/>
      <c r="K16" t="s">
        <v>31</v>
      </c>
      <c r="L16" s="6">
        <f>750000+150000</f>
        <v>900000</v>
      </c>
    </row>
    <row r="17" spans="3:12" x14ac:dyDescent="0.25">
      <c r="C17" t="s">
        <v>40</v>
      </c>
      <c r="D17" s="1" t="s">
        <v>20</v>
      </c>
      <c r="E17" s="3">
        <v>0.2</v>
      </c>
      <c r="F17" s="369"/>
      <c r="G17" s="12">
        <f>20*G16/80</f>
        <v>0</v>
      </c>
      <c r="H17" s="9">
        <f>H16*E17</f>
        <v>37500</v>
      </c>
      <c r="K17" t="s">
        <v>32</v>
      </c>
      <c r="L17" s="6">
        <f>L16/4</f>
        <v>225000</v>
      </c>
    </row>
    <row r="18" spans="3:12" x14ac:dyDescent="0.25">
      <c r="D18" s="1" t="s">
        <v>28</v>
      </c>
      <c r="E18" s="3"/>
      <c r="F18" s="20">
        <v>0.4</v>
      </c>
      <c r="G18" s="1"/>
      <c r="H18" s="9">
        <f>H17</f>
        <v>37500</v>
      </c>
    </row>
    <row r="19" spans="3:12" x14ac:dyDescent="0.25">
      <c r="H19" s="17">
        <f>SUM(H15:H18)</f>
        <v>487500</v>
      </c>
      <c r="I19" s="18" t="s">
        <v>30</v>
      </c>
    </row>
    <row r="20" spans="3:12" x14ac:dyDescent="0.25">
      <c r="H20" s="9"/>
      <c r="K20" s="6">
        <f>100000</f>
        <v>100000</v>
      </c>
    </row>
    <row r="22" spans="3:12" x14ac:dyDescent="0.25">
      <c r="D22" s="14" t="s">
        <v>21</v>
      </c>
      <c r="E22" s="15">
        <v>562900</v>
      </c>
    </row>
    <row r="23" spans="3:12" x14ac:dyDescent="0.25">
      <c r="D23" t="s">
        <v>23</v>
      </c>
      <c r="E23" s="13">
        <v>56250</v>
      </c>
      <c r="H23" s="9"/>
      <c r="J23" t="s">
        <v>39</v>
      </c>
      <c r="K23" t="s">
        <v>38</v>
      </c>
    </row>
    <row r="24" spans="3:12" x14ac:dyDescent="0.25">
      <c r="D24" t="s">
        <v>24</v>
      </c>
      <c r="E24" s="9">
        <f>G16</f>
        <v>0</v>
      </c>
      <c r="K24" t="s">
        <v>40</v>
      </c>
    </row>
    <row r="25" spans="3:12" x14ac:dyDescent="0.25">
      <c r="D25" t="s">
        <v>22</v>
      </c>
      <c r="E25" s="9">
        <f>E22-SUM(E23:E24)</f>
        <v>506650</v>
      </c>
    </row>
    <row r="27" spans="3:12" x14ac:dyDescent="0.25">
      <c r="D27" t="s">
        <v>25</v>
      </c>
    </row>
    <row r="29" spans="3:12" ht="15.75" thickBot="1" x14ac:dyDescent="0.3"/>
    <row r="30" spans="3:12" ht="15.75" thickBot="1" x14ac:dyDescent="0.3">
      <c r="G30" s="124" t="s">
        <v>275</v>
      </c>
      <c r="H30" s="125" t="s">
        <v>55</v>
      </c>
      <c r="I30" s="125" t="s">
        <v>61</v>
      </c>
      <c r="J30" s="127" t="s">
        <v>58</v>
      </c>
      <c r="K30" s="126" t="s">
        <v>112</v>
      </c>
    </row>
    <row r="31" spans="3:12" x14ac:dyDescent="0.25">
      <c r="D31" t="s">
        <v>41</v>
      </c>
      <c r="E31" s="25">
        <v>0.4</v>
      </c>
      <c r="G31" s="122" t="s">
        <v>62</v>
      </c>
      <c r="H31" s="123" t="s">
        <v>273</v>
      </c>
      <c r="I31" s="123" t="s">
        <v>67</v>
      </c>
      <c r="J31" s="128" t="s">
        <v>271</v>
      </c>
      <c r="K31" s="131" t="s">
        <v>267</v>
      </c>
    </row>
    <row r="32" spans="3:12" x14ac:dyDescent="0.25">
      <c r="D32" t="s">
        <v>42</v>
      </c>
      <c r="E32" s="26">
        <v>0.41379300000000002</v>
      </c>
      <c r="G32" s="121" t="s">
        <v>63</v>
      </c>
      <c r="H32" s="1" t="s">
        <v>274</v>
      </c>
      <c r="I32" s="1" t="s">
        <v>68</v>
      </c>
      <c r="J32" s="129" t="s">
        <v>272</v>
      </c>
      <c r="K32" s="130" t="s">
        <v>280</v>
      </c>
    </row>
    <row r="33" spans="4:11" x14ac:dyDescent="0.25">
      <c r="D33" t="s">
        <v>43</v>
      </c>
      <c r="E33" s="26">
        <f>E32/4</f>
        <v>0.10344825000000001</v>
      </c>
      <c r="G33" s="1" t="s">
        <v>256</v>
      </c>
      <c r="H33" s="1" t="s">
        <v>256</v>
      </c>
      <c r="I33" s="1" t="s">
        <v>91</v>
      </c>
      <c r="J33" s="129" t="s">
        <v>256</v>
      </c>
      <c r="K33" s="130" t="s">
        <v>268</v>
      </c>
    </row>
    <row r="34" spans="4:11" x14ac:dyDescent="0.25">
      <c r="E34" s="26"/>
      <c r="G34" s="146"/>
      <c r="H34" s="146"/>
      <c r="I34" s="146"/>
      <c r="J34" s="146"/>
      <c r="K34" s="130" t="s">
        <v>269</v>
      </c>
    </row>
    <row r="35" spans="4:11" x14ac:dyDescent="0.25">
      <c r="D35" t="s">
        <v>2</v>
      </c>
      <c r="E35" s="26">
        <f>E32/5</f>
        <v>8.2758600000000002E-2</v>
      </c>
      <c r="K35" s="130" t="s">
        <v>270</v>
      </c>
    </row>
    <row r="36" spans="4:11" x14ac:dyDescent="0.25">
      <c r="E36" s="27"/>
      <c r="K36" s="129" t="s">
        <v>256</v>
      </c>
    </row>
    <row r="37" spans="4:11" x14ac:dyDescent="0.25">
      <c r="E37" s="27"/>
    </row>
    <row r="38" spans="4:11" x14ac:dyDescent="0.25">
      <c r="E38" s="27">
        <f>SUM(E32:E35)</f>
        <v>0.59999985</v>
      </c>
    </row>
    <row r="40" spans="4:11" x14ac:dyDescent="0.25">
      <c r="D40" s="132"/>
      <c r="E40" s="367" t="s">
        <v>116</v>
      </c>
      <c r="F40" s="367"/>
      <c r="H40" s="171" t="s">
        <v>167</v>
      </c>
      <c r="I40" s="161"/>
      <c r="J40" s="161"/>
    </row>
    <row r="41" spans="4:11" x14ac:dyDescent="0.25">
      <c r="D41" s="133" t="s">
        <v>117</v>
      </c>
      <c r="E41" s="133" t="s">
        <v>110</v>
      </c>
      <c r="F41" s="133" t="s">
        <v>41</v>
      </c>
      <c r="H41" s="162" t="s">
        <v>168</v>
      </c>
      <c r="I41" s="163" t="s">
        <v>166</v>
      </c>
      <c r="J41" s="161"/>
    </row>
    <row r="42" spans="4:11" x14ac:dyDescent="0.25">
      <c r="D42" s="137" t="s">
        <v>256</v>
      </c>
      <c r="E42" s="138">
        <v>0</v>
      </c>
      <c r="F42" s="134"/>
      <c r="H42" s="164" t="s">
        <v>169</v>
      </c>
      <c r="I42" s="163" t="s">
        <v>170</v>
      </c>
      <c r="J42" s="161"/>
    </row>
    <row r="43" spans="4:11" x14ac:dyDescent="0.25">
      <c r="D43" s="135" t="s">
        <v>118</v>
      </c>
      <c r="E43" s="136">
        <v>0.27</v>
      </c>
      <c r="F43" s="136">
        <v>0.27</v>
      </c>
      <c r="H43" s="165"/>
      <c r="I43" s="161"/>
      <c r="J43" s="161"/>
    </row>
    <row r="44" spans="4:11" x14ac:dyDescent="0.25">
      <c r="D44" s="135" t="s">
        <v>119</v>
      </c>
      <c r="E44" s="136">
        <v>0.27</v>
      </c>
      <c r="F44" s="136">
        <v>0.27</v>
      </c>
      <c r="H44" s="171" t="s">
        <v>171</v>
      </c>
      <c r="I44" s="161"/>
      <c r="J44" s="161"/>
    </row>
    <row r="45" spans="4:11" x14ac:dyDescent="0.25">
      <c r="D45" s="135" t="s">
        <v>120</v>
      </c>
      <c r="E45" s="136">
        <v>0.3</v>
      </c>
      <c r="F45" s="136">
        <v>0.27</v>
      </c>
      <c r="H45" s="166" t="s">
        <v>159</v>
      </c>
      <c r="I45" s="160" t="s">
        <v>160</v>
      </c>
      <c r="J45" s="161"/>
    </row>
    <row r="46" spans="4:11" x14ac:dyDescent="0.25">
      <c r="D46" s="135" t="s">
        <v>121</v>
      </c>
      <c r="E46" s="136">
        <v>0.3</v>
      </c>
      <c r="F46" s="136">
        <v>0.27</v>
      </c>
      <c r="H46" s="166" t="s">
        <v>161</v>
      </c>
      <c r="I46" s="160" t="s">
        <v>162</v>
      </c>
      <c r="J46" s="161"/>
    </row>
    <row r="47" spans="4:11" x14ac:dyDescent="0.25">
      <c r="D47" s="135" t="s">
        <v>122</v>
      </c>
      <c r="E47" s="136">
        <v>0.3</v>
      </c>
      <c r="F47" s="136">
        <v>0.27</v>
      </c>
      <c r="H47" s="166" t="s">
        <v>163</v>
      </c>
      <c r="I47" s="160" t="s">
        <v>160</v>
      </c>
      <c r="J47" s="161"/>
    </row>
    <row r="48" spans="4:11" x14ac:dyDescent="0.25">
      <c r="D48" s="135" t="s">
        <v>123</v>
      </c>
      <c r="E48" s="136">
        <v>0.3</v>
      </c>
      <c r="F48" s="136">
        <v>0.27</v>
      </c>
      <c r="H48" s="167" t="s">
        <v>164</v>
      </c>
      <c r="I48" s="161"/>
      <c r="J48" s="161"/>
    </row>
    <row r="49" spans="4:10" x14ac:dyDescent="0.25">
      <c r="D49" s="135" t="s">
        <v>124</v>
      </c>
      <c r="E49" s="136">
        <v>0.27</v>
      </c>
      <c r="F49" s="136">
        <v>0.27</v>
      </c>
      <c r="H49" s="162" t="s">
        <v>165</v>
      </c>
      <c r="I49" s="163" t="s">
        <v>166</v>
      </c>
      <c r="J49" s="161"/>
    </row>
    <row r="50" spans="4:10" x14ac:dyDescent="0.25">
      <c r="D50" s="135" t="s">
        <v>125</v>
      </c>
      <c r="E50" s="136">
        <v>0.27</v>
      </c>
      <c r="F50" s="136">
        <v>0.27</v>
      </c>
      <c r="H50" s="162" t="s">
        <v>172</v>
      </c>
      <c r="I50" s="163" t="s">
        <v>162</v>
      </c>
      <c r="J50" s="161"/>
    </row>
    <row r="51" spans="4:10" x14ac:dyDescent="0.25">
      <c r="D51" s="135" t="s">
        <v>126</v>
      </c>
      <c r="E51" s="136">
        <v>0.27</v>
      </c>
      <c r="F51" s="136">
        <v>0.27</v>
      </c>
      <c r="H51" s="171" t="s">
        <v>173</v>
      </c>
      <c r="I51" s="161"/>
      <c r="J51" s="161"/>
    </row>
    <row r="52" spans="4:10" x14ac:dyDescent="0.25">
      <c r="D52" s="135" t="s">
        <v>127</v>
      </c>
      <c r="E52" s="136">
        <v>0</v>
      </c>
      <c r="F52" s="136">
        <v>0</v>
      </c>
      <c r="H52" s="168" t="s">
        <v>174</v>
      </c>
      <c r="I52" s="161"/>
      <c r="J52" s="161"/>
    </row>
    <row r="53" spans="4:10" x14ac:dyDescent="0.25">
      <c r="D53" s="135" t="s">
        <v>128</v>
      </c>
      <c r="E53" s="136">
        <v>0</v>
      </c>
      <c r="F53" s="136">
        <v>0</v>
      </c>
      <c r="H53" s="169"/>
      <c r="I53" s="161"/>
      <c r="J53" s="161"/>
    </row>
    <row r="54" spans="4:10" x14ac:dyDescent="0.25">
      <c r="D54" s="135" t="s">
        <v>129</v>
      </c>
      <c r="E54" s="136">
        <v>0.3</v>
      </c>
      <c r="F54" s="136">
        <v>0.27</v>
      </c>
      <c r="H54" s="166" t="s">
        <v>175</v>
      </c>
      <c r="I54" s="160" t="s">
        <v>176</v>
      </c>
      <c r="J54" s="161"/>
    </row>
    <row r="55" spans="4:10" x14ac:dyDescent="0.25">
      <c r="D55" s="135" t="s">
        <v>255</v>
      </c>
      <c r="E55" s="136">
        <v>0.3</v>
      </c>
      <c r="F55" s="136">
        <v>0.27</v>
      </c>
      <c r="H55" s="166" t="s">
        <v>177</v>
      </c>
      <c r="I55" s="160" t="s">
        <v>178</v>
      </c>
      <c r="J55" s="161"/>
    </row>
    <row r="56" spans="4:10" x14ac:dyDescent="0.25">
      <c r="D56" s="135" t="s">
        <v>344</v>
      </c>
      <c r="E56" s="136">
        <v>0.3</v>
      </c>
      <c r="F56" s="136">
        <v>0.27</v>
      </c>
      <c r="H56" s="166"/>
      <c r="I56" s="160"/>
      <c r="J56" s="161"/>
    </row>
    <row r="57" spans="4:10" x14ac:dyDescent="0.25">
      <c r="D57" s="135" t="s">
        <v>131</v>
      </c>
      <c r="E57" s="136">
        <v>0.27</v>
      </c>
      <c r="F57" s="136">
        <v>0.27</v>
      </c>
      <c r="H57" s="165"/>
      <c r="I57" s="161"/>
      <c r="J57" s="161"/>
    </row>
    <row r="58" spans="4:10" x14ac:dyDescent="0.25">
      <c r="D58" s="135" t="s">
        <v>132</v>
      </c>
      <c r="E58" s="136">
        <v>0.27</v>
      </c>
      <c r="F58" s="136">
        <v>0.27</v>
      </c>
      <c r="H58" s="165" t="s">
        <v>179</v>
      </c>
      <c r="I58" s="161"/>
      <c r="J58" s="161"/>
    </row>
    <row r="59" spans="4:10" x14ac:dyDescent="0.25">
      <c r="D59" s="135" t="s">
        <v>133</v>
      </c>
      <c r="E59" s="136">
        <v>0.27</v>
      </c>
      <c r="F59" s="136">
        <v>0.27</v>
      </c>
      <c r="H59" s="170" t="s">
        <v>180</v>
      </c>
      <c r="I59" s="161"/>
      <c r="J59" s="161"/>
    </row>
    <row r="60" spans="4:10" x14ac:dyDescent="0.25">
      <c r="D60" s="135" t="s">
        <v>134</v>
      </c>
      <c r="E60" s="136">
        <v>0.27</v>
      </c>
      <c r="F60" s="136">
        <v>0.27</v>
      </c>
      <c r="H60" s="171" t="s">
        <v>181</v>
      </c>
      <c r="I60" s="160" t="s">
        <v>182</v>
      </c>
      <c r="J60" s="161"/>
    </row>
    <row r="61" spans="4:10" x14ac:dyDescent="0.25">
      <c r="D61" s="135" t="s">
        <v>135</v>
      </c>
      <c r="E61" s="136">
        <v>0.27</v>
      </c>
      <c r="F61" s="136">
        <v>0.27</v>
      </c>
      <c r="H61" s="171" t="s">
        <v>183</v>
      </c>
      <c r="I61" s="160" t="s">
        <v>184</v>
      </c>
      <c r="J61" s="161"/>
    </row>
    <row r="62" spans="4:10" x14ac:dyDescent="0.25">
      <c r="D62" s="135" t="s">
        <v>136</v>
      </c>
      <c r="E62" s="136">
        <v>0.27</v>
      </c>
      <c r="F62" s="136">
        <v>0.27</v>
      </c>
      <c r="H62" s="171" t="s">
        <v>185</v>
      </c>
      <c r="I62" s="160" t="s">
        <v>186</v>
      </c>
      <c r="J62" s="161"/>
    </row>
    <row r="63" spans="4:10" x14ac:dyDescent="0.25">
      <c r="D63" s="135" t="s">
        <v>137</v>
      </c>
      <c r="E63" s="136">
        <v>0.27</v>
      </c>
      <c r="F63" s="136">
        <v>0.27</v>
      </c>
      <c r="H63" s="171" t="s">
        <v>187</v>
      </c>
      <c r="I63" s="160" t="s">
        <v>184</v>
      </c>
      <c r="J63" s="161"/>
    </row>
    <row r="64" spans="4:10" x14ac:dyDescent="0.25">
      <c r="D64" s="135" t="s">
        <v>138</v>
      </c>
      <c r="E64" s="136">
        <v>0.27</v>
      </c>
      <c r="F64" s="136">
        <v>0.27</v>
      </c>
      <c r="H64" s="160"/>
      <c r="I64" s="161"/>
      <c r="J64" s="161"/>
    </row>
    <row r="65" spans="3:10" x14ac:dyDescent="0.25">
      <c r="D65" s="278" t="s">
        <v>216</v>
      </c>
      <c r="E65" s="279"/>
      <c r="F65" s="279"/>
      <c r="H65" s="160"/>
      <c r="I65" s="161"/>
      <c r="J65" s="161"/>
    </row>
    <row r="66" spans="3:10" ht="15.75" thickBot="1" x14ac:dyDescent="0.3">
      <c r="H66" s="172" t="s">
        <v>188</v>
      </c>
      <c r="I66" s="165" t="s">
        <v>189</v>
      </c>
      <c r="J66" s="161"/>
    </row>
    <row r="67" spans="3:10" ht="15.75" thickBot="1" x14ac:dyDescent="0.3">
      <c r="D67" s="277" t="s">
        <v>157</v>
      </c>
      <c r="H67" s="172"/>
      <c r="I67" s="165"/>
      <c r="J67" s="161"/>
    </row>
    <row r="68" spans="3:10" x14ac:dyDescent="0.25">
      <c r="C68" s="249" t="s">
        <v>227</v>
      </c>
      <c r="D68" s="249" t="s">
        <v>256</v>
      </c>
      <c r="H68" s="172"/>
      <c r="I68" s="165"/>
      <c r="J68" s="161"/>
    </row>
    <row r="69" spans="3:10" x14ac:dyDescent="0.25">
      <c r="C69" s="249" t="s">
        <v>234</v>
      </c>
      <c r="D69" s="249" t="s">
        <v>257</v>
      </c>
      <c r="E69">
        <v>350</v>
      </c>
      <c r="F69">
        <v>850</v>
      </c>
      <c r="G69">
        <v>1800</v>
      </c>
      <c r="H69">
        <v>4000</v>
      </c>
    </row>
    <row r="70" spans="3:10" x14ac:dyDescent="0.25">
      <c r="C70" s="249" t="s">
        <v>235</v>
      </c>
      <c r="D70" s="249" t="s">
        <v>258</v>
      </c>
      <c r="E70">
        <v>4000</v>
      </c>
      <c r="F70">
        <v>7500</v>
      </c>
    </row>
    <row r="71" spans="3:10" x14ac:dyDescent="0.25">
      <c r="C71" s="249" t="s">
        <v>236</v>
      </c>
      <c r="D71" s="249" t="s">
        <v>259</v>
      </c>
      <c r="E71">
        <v>4000</v>
      </c>
    </row>
    <row r="72" spans="3:10" x14ac:dyDescent="0.25">
      <c r="C72" s="249" t="s">
        <v>198</v>
      </c>
      <c r="D72" s="249" t="s">
        <v>198</v>
      </c>
      <c r="E72">
        <v>1800</v>
      </c>
    </row>
    <row r="73" spans="3:10" x14ac:dyDescent="0.25">
      <c r="C73" s="249" t="s">
        <v>237</v>
      </c>
      <c r="D73" s="249" t="s">
        <v>260</v>
      </c>
      <c r="E73">
        <v>4000</v>
      </c>
    </row>
    <row r="74" spans="3:10" x14ac:dyDescent="0.25">
      <c r="C74" s="249" t="s">
        <v>238</v>
      </c>
      <c r="D74" s="249" t="s">
        <v>261</v>
      </c>
      <c r="E74">
        <v>4000</v>
      </c>
    </row>
    <row r="75" spans="3:10" x14ac:dyDescent="0.25">
      <c r="C75" s="249" t="s">
        <v>239</v>
      </c>
      <c r="D75" s="249" t="s">
        <v>262</v>
      </c>
      <c r="E75">
        <v>4000</v>
      </c>
    </row>
    <row r="76" spans="3:10" x14ac:dyDescent="0.25">
      <c r="C76" s="249" t="s">
        <v>201</v>
      </c>
      <c r="D76" s="249" t="s">
        <v>201</v>
      </c>
      <c r="E76">
        <v>4000</v>
      </c>
    </row>
    <row r="77" spans="3:10" x14ac:dyDescent="0.25">
      <c r="C77" s="249" t="s">
        <v>202</v>
      </c>
      <c r="D77" s="249" t="s">
        <v>202</v>
      </c>
      <c r="E77">
        <v>1800</v>
      </c>
    </row>
    <row r="78" spans="3:10" x14ac:dyDescent="0.25">
      <c r="C78" s="249" t="s">
        <v>240</v>
      </c>
      <c r="D78" s="249" t="s">
        <v>263</v>
      </c>
      <c r="E78">
        <v>850</v>
      </c>
      <c r="F78">
        <v>1800</v>
      </c>
    </row>
    <row r="79" spans="3:10" x14ac:dyDescent="0.25">
      <c r="C79" s="249" t="s">
        <v>217</v>
      </c>
      <c r="D79" s="249" t="s">
        <v>217</v>
      </c>
      <c r="E79">
        <v>850</v>
      </c>
      <c r="F79">
        <v>1800</v>
      </c>
    </row>
    <row r="80" spans="3:10" x14ac:dyDescent="0.25">
      <c r="C80" s="249" t="s">
        <v>241</v>
      </c>
      <c r="D80" s="249" t="s">
        <v>264</v>
      </c>
      <c r="E80">
        <v>850</v>
      </c>
    </row>
    <row r="81" spans="3:5" x14ac:dyDescent="0.25">
      <c r="C81" s="249" t="s">
        <v>242</v>
      </c>
      <c r="D81" s="249" t="s">
        <v>265</v>
      </c>
      <c r="E81">
        <v>850</v>
      </c>
    </row>
    <row r="82" spans="3:5" x14ac:dyDescent="0.25">
      <c r="C82" s="249" t="s">
        <v>243</v>
      </c>
      <c r="D82" s="249" t="s">
        <v>278</v>
      </c>
      <c r="E82">
        <v>5000</v>
      </c>
    </row>
    <row r="83" spans="3:5" x14ac:dyDescent="0.25">
      <c r="C83" s="249" t="s">
        <v>244</v>
      </c>
      <c r="D83" s="249" t="s">
        <v>279</v>
      </c>
      <c r="E83">
        <v>5000</v>
      </c>
    </row>
    <row r="84" spans="3:5" x14ac:dyDescent="0.25">
      <c r="C84" s="249" t="s">
        <v>245</v>
      </c>
      <c r="D84" s="249" t="s">
        <v>266</v>
      </c>
      <c r="E84">
        <v>5000</v>
      </c>
    </row>
  </sheetData>
  <mergeCells count="14">
    <mergeCell ref="C5:C6"/>
    <mergeCell ref="C7:C9"/>
    <mergeCell ref="J5:J6"/>
    <mergeCell ref="J7:J9"/>
    <mergeCell ref="E3:F3"/>
    <mergeCell ref="G3:H3"/>
    <mergeCell ref="E5:F5"/>
    <mergeCell ref="E40:F40"/>
    <mergeCell ref="F16:F17"/>
    <mergeCell ref="F1:G1"/>
    <mergeCell ref="L3:M3"/>
    <mergeCell ref="N3:O3"/>
    <mergeCell ref="L5:M5"/>
    <mergeCell ref="M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6:I56"/>
  <sheetViews>
    <sheetView topLeftCell="A19" workbookViewId="0">
      <selection activeCell="B42" sqref="B42"/>
    </sheetView>
  </sheetViews>
  <sheetFormatPr baseColWidth="10" defaultColWidth="9.140625" defaultRowHeight="15" x14ac:dyDescent="0.25"/>
  <cols>
    <col min="2" max="2" width="42.85546875" customWidth="1"/>
    <col min="3" max="3" width="26.7109375" customWidth="1"/>
    <col min="4" max="4" width="14.7109375" customWidth="1"/>
    <col min="5" max="5" width="11.85546875" bestFit="1" customWidth="1"/>
    <col min="7" max="7" width="9.85546875" customWidth="1"/>
  </cols>
  <sheetData>
    <row r="6" spans="2:9" ht="15.75" thickBot="1" x14ac:dyDescent="0.3">
      <c r="F6" t="s">
        <v>41</v>
      </c>
      <c r="G6" s="24">
        <v>0.4</v>
      </c>
    </row>
    <row r="7" spans="2:9" ht="15.75" thickBot="1" x14ac:dyDescent="0.3">
      <c r="B7" s="28" t="s">
        <v>142</v>
      </c>
      <c r="C7" s="35">
        <v>0</v>
      </c>
      <c r="F7" t="s">
        <v>42</v>
      </c>
      <c r="G7" s="23">
        <f>60/145</f>
        <v>0.41379310344827586</v>
      </c>
    </row>
    <row r="8" spans="2:9" ht="15.75" thickBot="1" x14ac:dyDescent="0.3">
      <c r="B8" s="29" t="s">
        <v>44</v>
      </c>
      <c r="C8" s="36">
        <f>'Budget de projet'!G43</f>
        <v>0</v>
      </c>
      <c r="F8" t="s">
        <v>43</v>
      </c>
      <c r="G8" s="23">
        <f>G7/4</f>
        <v>0.10344827586206896</v>
      </c>
      <c r="I8" s="21">
        <f>5*G9</f>
        <v>0.41379310344827586</v>
      </c>
    </row>
    <row r="9" spans="2:9" x14ac:dyDescent="0.25">
      <c r="B9" s="394" t="s">
        <v>45</v>
      </c>
      <c r="C9" s="394"/>
      <c r="F9" t="s">
        <v>2</v>
      </c>
      <c r="G9" s="23">
        <f>G7/5</f>
        <v>8.2758620689655171E-2</v>
      </c>
    </row>
    <row r="10" spans="2:9" x14ac:dyDescent="0.25">
      <c r="B10" s="30" t="s">
        <v>46</v>
      </c>
      <c r="C10" s="37">
        <f>C8*0.02</f>
        <v>0</v>
      </c>
      <c r="F10" s="32" t="s">
        <v>50</v>
      </c>
      <c r="G10" s="22">
        <f>SUM(G6:G9)</f>
        <v>1</v>
      </c>
    </row>
    <row r="11" spans="2:9" x14ac:dyDescent="0.25">
      <c r="B11" s="30" t="s">
        <v>47</v>
      </c>
      <c r="C11" s="37">
        <f>C8*0.03</f>
        <v>0</v>
      </c>
    </row>
    <row r="12" spans="2:9" ht="15.75" thickBot="1" x14ac:dyDescent="0.3"/>
    <row r="13" spans="2:9" ht="15.75" thickBot="1" x14ac:dyDescent="0.3">
      <c r="B13" s="31" t="s">
        <v>48</v>
      </c>
      <c r="C13" s="38">
        <f>C8*1.05</f>
        <v>0</v>
      </c>
      <c r="D13">
        <f>C8+C10+C11</f>
        <v>0</v>
      </c>
    </row>
    <row r="15" spans="2:9" x14ac:dyDescent="0.25">
      <c r="B15" t="s">
        <v>49</v>
      </c>
      <c r="C15" s="6">
        <f>C13*0.4</f>
        <v>0</v>
      </c>
    </row>
    <row r="16" spans="2:9" x14ac:dyDescent="0.25">
      <c r="B16" t="s">
        <v>51</v>
      </c>
      <c r="C16" s="6">
        <f>IF(C13*G7 &lt;=187500,C13*G7,187500)</f>
        <v>0</v>
      </c>
    </row>
    <row r="17" spans="2:7" x14ac:dyDescent="0.25">
      <c r="B17" t="s">
        <v>52</v>
      </c>
      <c r="C17" s="6">
        <f>IF(C13*G9 &lt;=37500,C13*G9,37500)</f>
        <v>0</v>
      </c>
    </row>
    <row r="18" spans="2:7" x14ac:dyDescent="0.25">
      <c r="B18" t="s">
        <v>53</v>
      </c>
      <c r="C18" s="6">
        <f>C13-C15-C16-C17</f>
        <v>0</v>
      </c>
      <c r="E18" s="21" t="e">
        <f>C18/C13</f>
        <v>#DIV/0!</v>
      </c>
    </row>
    <row r="19" spans="2:7" ht="15.75" thickBot="1" x14ac:dyDescent="0.3">
      <c r="E19" s="6">
        <f>C18-C11</f>
        <v>0</v>
      </c>
    </row>
    <row r="20" spans="2:7" ht="15.75" thickBot="1" x14ac:dyDescent="0.3">
      <c r="B20" s="31" t="s">
        <v>48</v>
      </c>
      <c r="C20" s="39">
        <f>SUM(C15:C18)</f>
        <v>0</v>
      </c>
      <c r="E20" s="9">
        <f>C11</f>
        <v>0</v>
      </c>
    </row>
    <row r="21" spans="2:7" x14ac:dyDescent="0.25">
      <c r="E21" t="s">
        <v>57</v>
      </c>
    </row>
    <row r="22" spans="2:7" x14ac:dyDescent="0.25">
      <c r="E22" t="s">
        <v>58</v>
      </c>
    </row>
    <row r="23" spans="2:7" x14ac:dyDescent="0.25">
      <c r="G23" s="6" t="e">
        <f>1/(45000/C13)</f>
        <v>#DIV/0!</v>
      </c>
    </row>
    <row r="24" spans="2:7" x14ac:dyDescent="0.25">
      <c r="E24" s="32" t="s">
        <v>59</v>
      </c>
    </row>
    <row r="35" spans="2:9" ht="15.75" thickBot="1" x14ac:dyDescent="0.3"/>
    <row r="36" spans="2:9" x14ac:dyDescent="0.25">
      <c r="B36" s="395" t="s">
        <v>94</v>
      </c>
      <c r="C36" s="396"/>
      <c r="D36" s="396"/>
      <c r="E36" s="396"/>
      <c r="F36" s="396"/>
      <c r="G36" s="396"/>
      <c r="H36" s="396"/>
      <c r="I36" s="397"/>
    </row>
    <row r="37" spans="2:9" ht="15.75" thickBot="1" x14ac:dyDescent="0.3">
      <c r="B37" s="398"/>
      <c r="C37" s="399"/>
      <c r="D37" s="399"/>
      <c r="E37" s="399"/>
      <c r="F37" s="399"/>
      <c r="G37" s="399"/>
      <c r="H37" s="399"/>
      <c r="I37" s="400"/>
    </row>
    <row r="38" spans="2:9" x14ac:dyDescent="0.25">
      <c r="B38" s="46"/>
      <c r="C38" s="46"/>
      <c r="D38" s="46"/>
      <c r="E38" s="46"/>
      <c r="F38" s="46"/>
      <c r="G38" s="46"/>
      <c r="H38" s="46"/>
      <c r="I38" s="46"/>
    </row>
    <row r="39" spans="2:9" ht="15.75" thickBot="1" x14ac:dyDescent="0.3">
      <c r="B39" s="386" t="s">
        <v>93</v>
      </c>
      <c r="C39" s="401" t="s">
        <v>95</v>
      </c>
      <c r="D39" s="402"/>
      <c r="E39" s="402"/>
      <c r="F39" s="403"/>
      <c r="G39" s="47"/>
      <c r="H39" s="48"/>
      <c r="I39" s="49"/>
    </row>
    <row r="40" spans="2:9" x14ac:dyDescent="0.25">
      <c r="B40" s="386"/>
      <c r="C40" s="388" t="s">
        <v>96</v>
      </c>
      <c r="D40" s="389"/>
      <c r="E40" s="388" t="s">
        <v>97</v>
      </c>
      <c r="F40" s="389"/>
      <c r="G40" s="390" t="s">
        <v>98</v>
      </c>
      <c r="H40" s="391"/>
      <c r="I40" s="54" t="s">
        <v>59</v>
      </c>
    </row>
    <row r="41" spans="2:9" ht="26.25" thickBot="1" x14ac:dyDescent="0.3">
      <c r="B41" s="55"/>
      <c r="C41" s="56" t="s">
        <v>103</v>
      </c>
      <c r="D41" s="56" t="s">
        <v>104</v>
      </c>
      <c r="E41" s="56" t="s">
        <v>103</v>
      </c>
      <c r="F41" s="56" t="s">
        <v>104</v>
      </c>
      <c r="G41" s="404" t="s">
        <v>99</v>
      </c>
      <c r="H41" s="405"/>
      <c r="I41" s="59" t="s">
        <v>100</v>
      </c>
    </row>
    <row r="42" spans="2:9" ht="15.75" thickBot="1" x14ac:dyDescent="0.3">
      <c r="B42" s="60" t="s">
        <v>101</v>
      </c>
      <c r="C42" s="61"/>
      <c r="D42" s="62"/>
      <c r="E42" s="61"/>
      <c r="F42" s="62"/>
      <c r="G42" s="406"/>
      <c r="H42" s="407"/>
      <c r="I42" s="65"/>
    </row>
    <row r="43" spans="2:9" x14ac:dyDescent="0.25">
      <c r="B43" s="66"/>
      <c r="C43" s="67"/>
      <c r="D43" s="68"/>
      <c r="E43" s="67"/>
      <c r="F43" s="68"/>
      <c r="G43" s="408"/>
      <c r="H43" s="409"/>
      <c r="I43" s="71"/>
    </row>
    <row r="44" spans="2:9" x14ac:dyDescent="0.25">
      <c r="B44" s="66"/>
      <c r="C44" s="67"/>
      <c r="D44" s="68"/>
      <c r="E44" s="67"/>
      <c r="F44" s="68"/>
      <c r="G44" s="378"/>
      <c r="H44" s="379"/>
      <c r="I44" s="71"/>
    </row>
    <row r="45" spans="2:9" x14ac:dyDescent="0.25">
      <c r="B45" s="66"/>
      <c r="C45" s="67"/>
      <c r="D45" s="68"/>
      <c r="E45" s="67"/>
      <c r="F45" s="68"/>
      <c r="G45" s="378"/>
      <c r="H45" s="379"/>
      <c r="I45" s="71"/>
    </row>
    <row r="46" spans="2:9" ht="15.75" thickBot="1" x14ac:dyDescent="0.3">
      <c r="B46" s="74"/>
      <c r="C46" s="75"/>
      <c r="D46" s="76"/>
      <c r="E46" s="75"/>
      <c r="F46" s="76"/>
      <c r="G46" s="392"/>
      <c r="H46" s="393"/>
      <c r="I46" s="79"/>
    </row>
    <row r="47" spans="2:9" ht="16.5" thickTop="1" thickBot="1" x14ac:dyDescent="0.3">
      <c r="B47" s="80" t="s">
        <v>102</v>
      </c>
      <c r="C47" s="81"/>
      <c r="D47" s="81"/>
      <c r="E47" s="81"/>
      <c r="F47" s="81"/>
      <c r="G47" s="384"/>
      <c r="H47" s="385"/>
      <c r="I47" s="115"/>
    </row>
    <row r="48" spans="2:9" x14ac:dyDescent="0.25">
      <c r="B48" s="84" t="s">
        <v>143</v>
      </c>
      <c r="C48" s="85" t="s">
        <v>143</v>
      </c>
      <c r="D48" s="86"/>
      <c r="E48" s="87"/>
      <c r="F48" s="87"/>
      <c r="G48" s="87"/>
      <c r="H48" s="87"/>
      <c r="I48" s="87"/>
    </row>
    <row r="49" spans="2:9" x14ac:dyDescent="0.25">
      <c r="D49" s="86"/>
      <c r="E49" s="87"/>
      <c r="F49" s="87"/>
      <c r="G49" s="87"/>
      <c r="H49" s="87"/>
      <c r="I49" s="87"/>
    </row>
    <row r="50" spans="2:9" ht="15" customHeight="1" thickBot="1" x14ac:dyDescent="0.3">
      <c r="B50" s="386" t="s">
        <v>105</v>
      </c>
      <c r="C50" s="387" t="s">
        <v>95</v>
      </c>
      <c r="D50" s="387"/>
      <c r="E50" s="387"/>
      <c r="F50" s="387"/>
      <c r="G50" s="88"/>
      <c r="H50" s="89"/>
      <c r="I50" s="90"/>
    </row>
    <row r="51" spans="2:9" ht="31.9" customHeight="1" x14ac:dyDescent="0.25">
      <c r="B51" s="386"/>
      <c r="C51" s="388" t="s">
        <v>96</v>
      </c>
      <c r="D51" s="389"/>
      <c r="E51" s="388" t="s">
        <v>97</v>
      </c>
      <c r="F51" s="389"/>
      <c r="G51" s="390" t="s">
        <v>98</v>
      </c>
      <c r="H51" s="391"/>
      <c r="I51" s="54" t="s">
        <v>59</v>
      </c>
    </row>
    <row r="52" spans="2:9" ht="15.75" thickBot="1" x14ac:dyDescent="0.3">
      <c r="B52" s="91"/>
      <c r="C52" s="56" t="s">
        <v>103</v>
      </c>
      <c r="D52" s="56" t="s">
        <v>104</v>
      </c>
      <c r="E52" s="56" t="s">
        <v>103</v>
      </c>
      <c r="F52" s="56" t="s">
        <v>104</v>
      </c>
      <c r="G52" s="376" t="s">
        <v>99</v>
      </c>
      <c r="H52" s="377"/>
      <c r="I52" s="94"/>
    </row>
    <row r="53" spans="2:9" x14ac:dyDescent="0.25">
      <c r="B53" s="95" t="s">
        <v>106</v>
      </c>
      <c r="C53" s="96"/>
      <c r="D53" s="68"/>
      <c r="E53" s="97"/>
      <c r="F53" s="68"/>
      <c r="G53" s="378"/>
      <c r="H53" s="379"/>
      <c r="I53" s="98"/>
    </row>
    <row r="54" spans="2:9" x14ac:dyDescent="0.25">
      <c r="B54" s="95" t="s">
        <v>2</v>
      </c>
      <c r="C54" s="99"/>
      <c r="D54" s="68"/>
      <c r="E54" s="97"/>
      <c r="F54" s="68"/>
      <c r="G54" s="380"/>
      <c r="H54" s="381"/>
      <c r="I54" s="98"/>
    </row>
    <row r="55" spans="2:9" ht="15.75" thickBot="1" x14ac:dyDescent="0.3">
      <c r="B55" s="116" t="s">
        <v>66</v>
      </c>
      <c r="C55" s="117"/>
      <c r="D55" s="118"/>
      <c r="E55" s="119"/>
      <c r="F55" s="118"/>
      <c r="G55" s="113"/>
      <c r="H55" s="114"/>
      <c r="I55" s="120"/>
    </row>
    <row r="56" spans="2:9" ht="16.5" thickTop="1" thickBot="1" x14ac:dyDescent="0.3">
      <c r="B56" s="102">
        <v>0</v>
      </c>
      <c r="C56" s="103"/>
      <c r="D56" s="104"/>
      <c r="E56" s="105"/>
      <c r="F56" s="104"/>
      <c r="G56" s="382"/>
      <c r="H56" s="383"/>
      <c r="I56" s="108"/>
    </row>
  </sheetData>
  <mergeCells count="23">
    <mergeCell ref="G46:H46"/>
    <mergeCell ref="B9:C9"/>
    <mergeCell ref="B36:I37"/>
    <mergeCell ref="B39:B40"/>
    <mergeCell ref="C39:F39"/>
    <mergeCell ref="C40:D40"/>
    <mergeCell ref="E40:F40"/>
    <mergeCell ref="G40:H40"/>
    <mergeCell ref="G41:H41"/>
    <mergeCell ref="G42:H42"/>
    <mergeCell ref="G43:H43"/>
    <mergeCell ref="G44:H44"/>
    <mergeCell ref="G45:H45"/>
    <mergeCell ref="B50:B51"/>
    <mergeCell ref="C50:F50"/>
    <mergeCell ref="C51:D51"/>
    <mergeCell ref="E51:F51"/>
    <mergeCell ref="G51:H51"/>
    <mergeCell ref="G52:H52"/>
    <mergeCell ref="G53:H53"/>
    <mergeCell ref="G54:H54"/>
    <mergeCell ref="G56:H56"/>
    <mergeCell ref="G47:H47"/>
  </mergeCells>
  <conditionalFormatting sqref="C13">
    <cfRule type="cellIs" dxfId="107" priority="10" operator="equal">
      <formula>157.5</formula>
    </cfRule>
  </conditionalFormatting>
  <conditionalFormatting sqref="C20">
    <cfRule type="cellIs" dxfId="106" priority="9" operator="equal">
      <formula>$C$13</formula>
    </cfRule>
  </conditionalFormatting>
  <conditionalFormatting sqref="D13">
    <cfRule type="cellIs" dxfId="105" priority="8" operator="equal">
      <formula>$C$13</formula>
    </cfRule>
  </conditionalFormatting>
  <conditionalFormatting sqref="B43:B44">
    <cfRule type="containsText" dxfId="104" priority="6" operator="containsText" text="Aucun">
      <formula>NOT(ISERROR(SEARCH("Aucun",B43)))</formula>
    </cfRule>
    <cfRule type="containsText" dxfId="103" priority="7" operator="containsText" text="Nom industriel">
      <formula>NOT(ISERROR(SEARCH("Nom industriel",B43)))</formula>
    </cfRule>
  </conditionalFormatting>
  <conditionalFormatting sqref="B48">
    <cfRule type="expression" dxfId="102" priority="5">
      <formula>$D$19=Mitacs</formula>
    </cfRule>
  </conditionalFormatting>
  <conditionalFormatting sqref="C48">
    <cfRule type="expression" dxfId="101" priority="4">
      <formula>$D$19=Mitacs</formula>
    </cfRule>
  </conditionalFormatting>
  <conditionalFormatting sqref="B45:B46">
    <cfRule type="containsText" dxfId="100" priority="2" operator="containsText" text="Aucun">
      <formula>NOT(ISERROR(SEARCH("Aucun",B45)))</formula>
    </cfRule>
    <cfRule type="containsText" dxfId="99" priority="3" operator="containsText" text="Nom industriel">
      <formula>NOT(ISERROR(SEARCH("Nom industriel",B45)))</formula>
    </cfRule>
  </conditionalFormatting>
  <conditionalFormatting sqref="C54:C55">
    <cfRule type="containsText" dxfId="98" priority="1" operator="containsText" text="inscrivez">
      <formula>NOT(ISERROR(SEARCH("inscrivez",C54)))</formula>
    </cfRule>
  </conditionalFormatting>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6:I58"/>
  <sheetViews>
    <sheetView topLeftCell="A43" workbookViewId="0">
      <selection activeCell="B16" sqref="B16:I16"/>
    </sheetView>
  </sheetViews>
  <sheetFormatPr baseColWidth="10" defaultColWidth="9.140625" defaultRowHeight="15" x14ac:dyDescent="0.25"/>
  <cols>
    <col min="2" max="2" width="24.140625" customWidth="1"/>
    <col min="3" max="3" width="22" customWidth="1"/>
    <col min="6" max="6" width="11.28515625" customWidth="1"/>
    <col min="7" max="7" width="10.7109375" customWidth="1"/>
  </cols>
  <sheetData>
    <row r="6" spans="2:7" x14ac:dyDescent="0.25">
      <c r="F6" t="s">
        <v>41</v>
      </c>
      <c r="G6" s="24">
        <v>0.2</v>
      </c>
    </row>
    <row r="7" spans="2:7" ht="15.75" thickBot="1" x14ac:dyDescent="0.3">
      <c r="F7" t="s">
        <v>42</v>
      </c>
      <c r="G7" s="23" t="e">
        <f>(80%-G8)/1.45</f>
        <v>#DIV/0!</v>
      </c>
    </row>
    <row r="8" spans="2:7" ht="15.75" thickBot="1" x14ac:dyDescent="0.3">
      <c r="B8" s="28" t="s">
        <v>142</v>
      </c>
      <c r="C8" s="28">
        <f>'Budget de projet'!G51</f>
        <v>0</v>
      </c>
      <c r="D8" s="21" t="e">
        <f>C8/C14</f>
        <v>#DIV/0!</v>
      </c>
      <c r="F8" t="s">
        <v>141</v>
      </c>
      <c r="G8" s="21" t="e">
        <f>'Budget de projet'!G51/'Budget de projet'!G53</f>
        <v>#DIV/0!</v>
      </c>
    </row>
    <row r="9" spans="2:7" ht="15.75" thickBot="1" x14ac:dyDescent="0.3">
      <c r="B9" s="29" t="s">
        <v>44</v>
      </c>
      <c r="C9" s="36">
        <f>'Budget de projet'!G53</f>
        <v>0</v>
      </c>
      <c r="F9" t="s">
        <v>43</v>
      </c>
      <c r="G9" s="23" t="e">
        <f>G7/4</f>
        <v>#DIV/0!</v>
      </c>
    </row>
    <row r="10" spans="2:7" x14ac:dyDescent="0.25">
      <c r="B10" s="394" t="s">
        <v>45</v>
      </c>
      <c r="C10" s="394"/>
      <c r="F10" t="s">
        <v>2</v>
      </c>
      <c r="G10" s="23" t="e">
        <f>G7/5</f>
        <v>#DIV/0!</v>
      </c>
    </row>
    <row r="11" spans="2:7" x14ac:dyDescent="0.25">
      <c r="B11" s="30" t="s">
        <v>46</v>
      </c>
      <c r="C11" s="37">
        <f>C9*0.02</f>
        <v>0</v>
      </c>
      <c r="F11" s="32" t="s">
        <v>50</v>
      </c>
      <c r="G11" s="22" t="e">
        <f>SUM(G6:G10)</f>
        <v>#DIV/0!</v>
      </c>
    </row>
    <row r="12" spans="2:7" x14ac:dyDescent="0.25">
      <c r="B12" s="30" t="s">
        <v>47</v>
      </c>
      <c r="C12" s="37">
        <f>C9*0.03</f>
        <v>0</v>
      </c>
    </row>
    <row r="13" spans="2:7" ht="15.75" thickBot="1" x14ac:dyDescent="0.3"/>
    <row r="14" spans="2:7" ht="15.75" thickBot="1" x14ac:dyDescent="0.3">
      <c r="B14" s="31" t="s">
        <v>48</v>
      </c>
      <c r="C14" s="38">
        <f>C9</f>
        <v>0</v>
      </c>
    </row>
    <row r="15" spans="2:7" x14ac:dyDescent="0.25">
      <c r="C15" s="6"/>
    </row>
    <row r="16" spans="2:7" x14ac:dyDescent="0.25">
      <c r="B16" t="s">
        <v>56</v>
      </c>
      <c r="C16" s="6">
        <f>C14*0.2</f>
        <v>0</v>
      </c>
      <c r="D16" s="144" t="e">
        <f>C16/C14</f>
        <v>#DIV/0!</v>
      </c>
    </row>
    <row r="17" spans="2:6" x14ac:dyDescent="0.25">
      <c r="B17" t="s">
        <v>51</v>
      </c>
      <c r="C17" s="6" t="e">
        <f>IF(C14*G7 &lt;=187500,C14*G7,187500)</f>
        <v>#DIV/0!</v>
      </c>
      <c r="D17" s="144" t="e">
        <f>C17/C14</f>
        <v>#DIV/0!</v>
      </c>
    </row>
    <row r="18" spans="2:6" x14ac:dyDescent="0.25">
      <c r="B18" t="s">
        <v>52</v>
      </c>
      <c r="C18" s="6" t="e">
        <f>IF(C14*G10 &lt;=37500,C14*G10,37500)</f>
        <v>#DIV/0!</v>
      </c>
      <c r="D18" s="144" t="e">
        <f>C18/C14</f>
        <v>#DIV/0!</v>
      </c>
    </row>
    <row r="19" spans="2:6" x14ac:dyDescent="0.25">
      <c r="B19" t="s">
        <v>54</v>
      </c>
      <c r="C19" s="6" t="e">
        <f>C14-C16-C17-C18-C8</f>
        <v>#DIV/0!</v>
      </c>
      <c r="D19" s="144" t="e">
        <f>C19/C14</f>
        <v>#DIV/0!</v>
      </c>
    </row>
    <row r="20" spans="2:6" x14ac:dyDescent="0.25">
      <c r="C20" s="6"/>
      <c r="E20" s="33"/>
      <c r="F20">
        <f>0.2*C14</f>
        <v>0</v>
      </c>
    </row>
    <row r="21" spans="2:6" ht="15.75" thickBot="1" x14ac:dyDescent="0.3">
      <c r="C21" s="6"/>
      <c r="E21" s="33"/>
    </row>
    <row r="22" spans="2:6" ht="15.75" thickBot="1" x14ac:dyDescent="0.3">
      <c r="B22" s="31" t="s">
        <v>48</v>
      </c>
      <c r="C22" s="39" t="e">
        <f>SUM(C16:C19)</f>
        <v>#DIV/0!</v>
      </c>
      <c r="D22" s="8" t="e">
        <f>SUM(D8:D19)</f>
        <v>#DIV/0!</v>
      </c>
    </row>
    <row r="37" spans="2:9" ht="15.75" thickBot="1" x14ac:dyDescent="0.3"/>
    <row r="38" spans="2:9" x14ac:dyDescent="0.25">
      <c r="B38" s="395" t="s">
        <v>94</v>
      </c>
      <c r="C38" s="396"/>
      <c r="D38" s="396"/>
      <c r="E38" s="396"/>
      <c r="F38" s="396"/>
      <c r="G38" s="396"/>
      <c r="H38" s="396"/>
      <c r="I38" s="397"/>
    </row>
    <row r="39" spans="2:9" ht="15.75" thickBot="1" x14ac:dyDescent="0.3">
      <c r="B39" s="398"/>
      <c r="C39" s="399"/>
      <c r="D39" s="399"/>
      <c r="E39" s="399"/>
      <c r="F39" s="399"/>
      <c r="G39" s="399"/>
      <c r="H39" s="399"/>
      <c r="I39" s="400"/>
    </row>
    <row r="40" spans="2:9" x14ac:dyDescent="0.25">
      <c r="B40" s="46"/>
      <c r="C40" s="46"/>
      <c r="D40" s="46"/>
      <c r="E40" s="46"/>
      <c r="F40" s="46"/>
      <c r="G40" s="46"/>
      <c r="H40" s="46"/>
      <c r="I40" s="46"/>
    </row>
    <row r="41" spans="2:9" ht="15.75" thickBot="1" x14ac:dyDescent="0.3">
      <c r="B41" s="386" t="s">
        <v>93</v>
      </c>
      <c r="C41" s="401" t="s">
        <v>95</v>
      </c>
      <c r="D41" s="402"/>
      <c r="E41" s="402"/>
      <c r="F41" s="403"/>
      <c r="G41" s="47"/>
      <c r="H41" s="48"/>
      <c r="I41" s="49"/>
    </row>
    <row r="42" spans="2:9" x14ac:dyDescent="0.25">
      <c r="B42" s="386"/>
      <c r="C42" s="388" t="s">
        <v>96</v>
      </c>
      <c r="D42" s="389"/>
      <c r="E42" s="388" t="s">
        <v>97</v>
      </c>
      <c r="F42" s="389"/>
      <c r="G42" s="390" t="s">
        <v>98</v>
      </c>
      <c r="H42" s="391"/>
      <c r="I42" s="54" t="s">
        <v>59</v>
      </c>
    </row>
    <row r="43" spans="2:9" ht="26.25" thickBot="1" x14ac:dyDescent="0.3">
      <c r="B43" s="55"/>
      <c r="C43" s="56" t="s">
        <v>103</v>
      </c>
      <c r="D43" s="56" t="s">
        <v>104</v>
      </c>
      <c r="E43" s="56" t="s">
        <v>103</v>
      </c>
      <c r="F43" s="56" t="s">
        <v>104</v>
      </c>
      <c r="G43" s="404" t="s">
        <v>99</v>
      </c>
      <c r="H43" s="405"/>
      <c r="I43" s="59" t="s">
        <v>100</v>
      </c>
    </row>
    <row r="44" spans="2:9" ht="26.25" thickBot="1" x14ac:dyDescent="0.3">
      <c r="B44" s="60" t="s">
        <v>101</v>
      </c>
      <c r="C44" s="61"/>
      <c r="D44" s="62"/>
      <c r="E44" s="61"/>
      <c r="F44" s="62"/>
      <c r="G44" s="406"/>
      <c r="H44" s="407"/>
      <c r="I44" s="65"/>
    </row>
    <row r="45" spans="2:9" x14ac:dyDescent="0.25">
      <c r="B45" s="66"/>
      <c r="C45" s="67"/>
      <c r="D45" s="68"/>
      <c r="E45" s="67"/>
      <c r="F45" s="68"/>
      <c r="G45" s="408"/>
      <c r="H45" s="409"/>
      <c r="I45" s="71"/>
    </row>
    <row r="46" spans="2:9" x14ac:dyDescent="0.25">
      <c r="B46" s="66"/>
      <c r="C46" s="67"/>
      <c r="D46" s="68"/>
      <c r="E46" s="67"/>
      <c r="F46" s="68"/>
      <c r="G46" s="378"/>
      <c r="H46" s="379"/>
      <c r="I46" s="71"/>
    </row>
    <row r="47" spans="2:9" x14ac:dyDescent="0.25">
      <c r="B47" s="66"/>
      <c r="C47" s="67"/>
      <c r="D47" s="68"/>
      <c r="E47" s="67"/>
      <c r="F47" s="68"/>
      <c r="G47" s="378"/>
      <c r="H47" s="379"/>
      <c r="I47" s="71"/>
    </row>
    <row r="48" spans="2:9" ht="15.75" thickBot="1" x14ac:dyDescent="0.3">
      <c r="B48" s="74"/>
      <c r="C48" s="75"/>
      <c r="D48" s="76"/>
      <c r="E48" s="75"/>
      <c r="F48" s="76"/>
      <c r="G48" s="392"/>
      <c r="H48" s="393"/>
      <c r="I48" s="79"/>
    </row>
    <row r="49" spans="2:9" ht="16.5" thickTop="1" thickBot="1" x14ac:dyDescent="0.3">
      <c r="B49" s="80" t="s">
        <v>102</v>
      </c>
      <c r="C49" s="81"/>
      <c r="D49" s="81"/>
      <c r="E49" s="81"/>
      <c r="F49" s="81"/>
      <c r="G49" s="384"/>
      <c r="H49" s="385"/>
      <c r="I49" s="115"/>
    </row>
    <row r="50" spans="2:9" x14ac:dyDescent="0.25">
      <c r="B50" s="84" t="s">
        <v>143</v>
      </c>
      <c r="C50" s="85" t="s">
        <v>143</v>
      </c>
      <c r="D50" s="86"/>
      <c r="E50" s="87"/>
      <c r="F50" s="87"/>
      <c r="G50" s="87"/>
      <c r="H50" s="87"/>
      <c r="I50" s="87"/>
    </row>
    <row r="51" spans="2:9" x14ac:dyDescent="0.25">
      <c r="D51" s="86"/>
      <c r="E51" s="87"/>
      <c r="F51" s="87"/>
      <c r="G51" s="87"/>
      <c r="H51" s="87"/>
      <c r="I51" s="87"/>
    </row>
    <row r="52" spans="2:9" ht="15.75" thickBot="1" x14ac:dyDescent="0.3">
      <c r="B52" s="386" t="s">
        <v>105</v>
      </c>
      <c r="C52" s="387" t="s">
        <v>95</v>
      </c>
      <c r="D52" s="387"/>
      <c r="E52" s="387"/>
      <c r="F52" s="387"/>
      <c r="G52" s="88"/>
      <c r="H52" s="89"/>
      <c r="I52" s="90"/>
    </row>
    <row r="53" spans="2:9" x14ac:dyDescent="0.25">
      <c r="B53" s="386"/>
      <c r="C53" s="388" t="s">
        <v>96</v>
      </c>
      <c r="D53" s="389"/>
      <c r="E53" s="388" t="s">
        <v>97</v>
      </c>
      <c r="F53" s="389"/>
      <c r="G53" s="390" t="s">
        <v>98</v>
      </c>
      <c r="H53" s="391"/>
      <c r="I53" s="54" t="s">
        <v>59</v>
      </c>
    </row>
    <row r="54" spans="2:9" ht="15.75" thickBot="1" x14ac:dyDescent="0.3">
      <c r="B54" s="91"/>
      <c r="C54" s="56" t="s">
        <v>103</v>
      </c>
      <c r="D54" s="56" t="s">
        <v>104</v>
      </c>
      <c r="E54" s="56" t="s">
        <v>103</v>
      </c>
      <c r="F54" s="56" t="s">
        <v>104</v>
      </c>
      <c r="G54" s="376" t="s">
        <v>99</v>
      </c>
      <c r="H54" s="377"/>
      <c r="I54" s="94"/>
    </row>
    <row r="55" spans="2:9" x14ac:dyDescent="0.25">
      <c r="B55" s="95" t="s">
        <v>106</v>
      </c>
      <c r="C55" s="96"/>
      <c r="D55" s="68"/>
      <c r="E55" s="97"/>
      <c r="F55" s="68"/>
      <c r="G55" s="378"/>
      <c r="H55" s="379"/>
      <c r="I55" s="98"/>
    </row>
    <row r="56" spans="2:9" x14ac:dyDescent="0.25">
      <c r="B56" s="95" t="s">
        <v>2</v>
      </c>
      <c r="C56" s="99"/>
      <c r="D56" s="68"/>
      <c r="E56" s="97"/>
      <c r="F56" s="68"/>
      <c r="G56" s="380"/>
      <c r="H56" s="381"/>
      <c r="I56" s="98"/>
    </row>
    <row r="57" spans="2:9" ht="15.75" thickBot="1" x14ac:dyDescent="0.3">
      <c r="B57" s="116" t="s">
        <v>66</v>
      </c>
      <c r="C57" s="117"/>
      <c r="D57" s="118"/>
      <c r="E57" s="119"/>
      <c r="F57" s="118"/>
      <c r="G57" s="113"/>
      <c r="H57" s="114"/>
      <c r="I57" s="120"/>
    </row>
    <row r="58" spans="2:9" ht="16.5" thickTop="1" thickBot="1" x14ac:dyDescent="0.3">
      <c r="B58" s="102">
        <v>0</v>
      </c>
      <c r="C58" s="103"/>
      <c r="D58" s="104"/>
      <c r="E58" s="105"/>
      <c r="F58" s="104"/>
      <c r="G58" s="382"/>
      <c r="H58" s="383"/>
      <c r="I58" s="108"/>
    </row>
  </sheetData>
  <mergeCells count="23">
    <mergeCell ref="G48:H48"/>
    <mergeCell ref="B10:C10"/>
    <mergeCell ref="B38:I39"/>
    <mergeCell ref="B41:B42"/>
    <mergeCell ref="C41:F41"/>
    <mergeCell ref="C42:D42"/>
    <mergeCell ref="E42:F42"/>
    <mergeCell ref="G42:H42"/>
    <mergeCell ref="G43:H43"/>
    <mergeCell ref="G44:H44"/>
    <mergeCell ref="G45:H45"/>
    <mergeCell ref="G46:H46"/>
    <mergeCell ref="G47:H47"/>
    <mergeCell ref="B52:B53"/>
    <mergeCell ref="C52:F52"/>
    <mergeCell ref="C53:D53"/>
    <mergeCell ref="E53:F53"/>
    <mergeCell ref="G53:H53"/>
    <mergeCell ref="G54:H54"/>
    <mergeCell ref="G55:H55"/>
    <mergeCell ref="G56:H56"/>
    <mergeCell ref="G58:H58"/>
    <mergeCell ref="G49:H49"/>
  </mergeCells>
  <conditionalFormatting sqref="C14">
    <cfRule type="cellIs" dxfId="97" priority="9" operator="equal">
      <formula>$C$9+$C$11+$C$12</formula>
    </cfRule>
    <cfRule type="cellIs" dxfId="96" priority="12" operator="equal">
      <formula>157.5</formula>
    </cfRule>
  </conditionalFormatting>
  <conditionalFormatting sqref="C22">
    <cfRule type="cellIs" dxfId="95" priority="11" operator="equal">
      <formula>$C$14</formula>
    </cfRule>
  </conditionalFormatting>
  <conditionalFormatting sqref="D14">
    <cfRule type="cellIs" dxfId="94" priority="10" operator="equal">
      <formula>$C$14</formula>
    </cfRule>
  </conditionalFormatting>
  <conditionalFormatting sqref="B45:B46">
    <cfRule type="containsText" dxfId="93" priority="7" operator="containsText" text="Aucun">
      <formula>NOT(ISERROR(SEARCH("Aucun",B45)))</formula>
    </cfRule>
    <cfRule type="containsText" dxfId="92" priority="8" operator="containsText" text="Nom industriel">
      <formula>NOT(ISERROR(SEARCH("Nom industriel",B45)))</formula>
    </cfRule>
  </conditionalFormatting>
  <conditionalFormatting sqref="B50">
    <cfRule type="expression" dxfId="91" priority="6">
      <formula>$D$20=Mitacs</formula>
    </cfRule>
  </conditionalFormatting>
  <conditionalFormatting sqref="C50">
    <cfRule type="expression" dxfId="90" priority="5">
      <formula>$D$20=Mitacs</formula>
    </cfRule>
  </conditionalFormatting>
  <conditionalFormatting sqref="B47:B48">
    <cfRule type="containsText" dxfId="89" priority="3" operator="containsText" text="Aucun">
      <formula>NOT(ISERROR(SEARCH("Aucun",B47)))</formula>
    </cfRule>
    <cfRule type="containsText" dxfId="88" priority="4" operator="containsText" text="Nom industriel">
      <formula>NOT(ISERROR(SEARCH("Nom industriel",B47)))</formula>
    </cfRule>
  </conditionalFormatting>
  <conditionalFormatting sqref="C56:C57">
    <cfRule type="containsText" dxfId="87" priority="2" operator="containsText" text="inscrivez">
      <formula>NOT(ISERROR(SEARCH("inscrivez",C56)))</formula>
    </cfRule>
  </conditionalFormatting>
  <conditionalFormatting sqref="C19">
    <cfRule type="cellIs" dxfId="86" priority="50" operator="equal">
      <formula>$C$14*$G$9</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6:I56"/>
  <sheetViews>
    <sheetView topLeftCell="A4" workbookViewId="0">
      <selection activeCell="B16" sqref="B16:I16"/>
    </sheetView>
  </sheetViews>
  <sheetFormatPr baseColWidth="10" defaultColWidth="9.140625" defaultRowHeight="15" x14ac:dyDescent="0.25"/>
  <cols>
    <col min="2" max="2" width="23.28515625" customWidth="1"/>
    <col min="3" max="3" width="22.42578125" customWidth="1"/>
  </cols>
  <sheetData>
    <row r="6" spans="2:7" ht="15.75" thickBot="1" x14ac:dyDescent="0.3">
      <c r="F6" t="s">
        <v>41</v>
      </c>
      <c r="G6" s="24">
        <v>0.4</v>
      </c>
    </row>
    <row r="7" spans="2:7" ht="15.75" thickBot="1" x14ac:dyDescent="0.3">
      <c r="B7" s="28" t="s">
        <v>142</v>
      </c>
      <c r="C7" s="34">
        <v>0</v>
      </c>
      <c r="F7" t="s">
        <v>42</v>
      </c>
      <c r="G7" s="23">
        <f>40/145</f>
        <v>0.27586206896551724</v>
      </c>
    </row>
    <row r="8" spans="2:7" ht="15.75" thickBot="1" x14ac:dyDescent="0.3">
      <c r="B8" s="29" t="s">
        <v>44</v>
      </c>
      <c r="C8" s="139">
        <f>'Budget de projet'!G43</f>
        <v>0</v>
      </c>
      <c r="F8" t="s">
        <v>43</v>
      </c>
      <c r="G8" s="23">
        <f>G7/4</f>
        <v>6.8965517241379309E-2</v>
      </c>
    </row>
    <row r="9" spans="2:7" x14ac:dyDescent="0.25">
      <c r="B9" s="394" t="s">
        <v>45</v>
      </c>
      <c r="C9" s="394"/>
      <c r="F9" t="s">
        <v>2</v>
      </c>
      <c r="G9" s="23">
        <f>G7/5</f>
        <v>5.5172413793103448E-2</v>
      </c>
    </row>
    <row r="10" spans="2:7" x14ac:dyDescent="0.25">
      <c r="B10" s="30" t="s">
        <v>46</v>
      </c>
      <c r="C10" s="37">
        <f>C8*0.02</f>
        <v>0</v>
      </c>
      <c r="F10" t="s">
        <v>55</v>
      </c>
      <c r="G10" s="21">
        <v>0.2</v>
      </c>
    </row>
    <row r="11" spans="2:7" x14ac:dyDescent="0.25">
      <c r="B11" s="30" t="s">
        <v>47</v>
      </c>
      <c r="C11" s="37">
        <f>C8*0.03</f>
        <v>0</v>
      </c>
      <c r="F11" s="32" t="s">
        <v>50</v>
      </c>
      <c r="G11" s="22">
        <f>SUM(G6:G10)</f>
        <v>1</v>
      </c>
    </row>
    <row r="12" spans="2:7" ht="15.75" thickBot="1" x14ac:dyDescent="0.3">
      <c r="C12" s="6"/>
    </row>
    <row r="13" spans="2:7" ht="15.75" thickBot="1" x14ac:dyDescent="0.3">
      <c r="B13" s="31" t="s">
        <v>48</v>
      </c>
      <c r="C13" s="38">
        <f>'Budget de projet'!G53</f>
        <v>0</v>
      </c>
    </row>
    <row r="14" spans="2:7" x14ac:dyDescent="0.25">
      <c r="C14" s="6"/>
    </row>
    <row r="15" spans="2:7" x14ac:dyDescent="0.25">
      <c r="B15" t="s">
        <v>49</v>
      </c>
      <c r="C15" s="6">
        <f>C13*0.4</f>
        <v>0</v>
      </c>
    </row>
    <row r="16" spans="2:7" x14ac:dyDescent="0.25">
      <c r="B16" t="s">
        <v>51</v>
      </c>
      <c r="C16" s="6">
        <f>IF(C13*G7 &lt;=187500,C13*G7,187500)</f>
        <v>0</v>
      </c>
    </row>
    <row r="17" spans="2:3" x14ac:dyDescent="0.25">
      <c r="B17" t="s">
        <v>52</v>
      </c>
      <c r="C17" s="6">
        <f>IF(C13*G9 &lt;=37500,C13*G9,37500)</f>
        <v>0</v>
      </c>
    </row>
    <row r="18" spans="2:3" x14ac:dyDescent="0.25">
      <c r="B18" t="s">
        <v>55</v>
      </c>
      <c r="C18" s="6">
        <f>0.2*C13</f>
        <v>0</v>
      </c>
    </row>
    <row r="19" spans="2:3" x14ac:dyDescent="0.25">
      <c r="B19" t="s">
        <v>54</v>
      </c>
      <c r="C19" s="6">
        <f>C13-C15-C16-C17-C18</f>
        <v>0</v>
      </c>
    </row>
    <row r="20" spans="2:3" ht="15.75" thickBot="1" x14ac:dyDescent="0.3">
      <c r="C20" s="6"/>
    </row>
    <row r="21" spans="2:3" ht="15.75" thickBot="1" x14ac:dyDescent="0.3">
      <c r="B21" s="31" t="s">
        <v>48</v>
      </c>
      <c r="C21" s="39">
        <f>SUM(C15:C19)</f>
        <v>0</v>
      </c>
    </row>
    <row r="35" spans="2:9" ht="15.75" thickBot="1" x14ac:dyDescent="0.3"/>
    <row r="36" spans="2:9" x14ac:dyDescent="0.25">
      <c r="B36" s="395" t="s">
        <v>94</v>
      </c>
      <c r="C36" s="396"/>
      <c r="D36" s="396"/>
      <c r="E36" s="396"/>
      <c r="F36" s="396"/>
      <c r="G36" s="396"/>
      <c r="H36" s="396"/>
      <c r="I36" s="397"/>
    </row>
    <row r="37" spans="2:9" ht="15.75" thickBot="1" x14ac:dyDescent="0.3">
      <c r="B37" s="398"/>
      <c r="C37" s="399"/>
      <c r="D37" s="399"/>
      <c r="E37" s="399"/>
      <c r="F37" s="399"/>
      <c r="G37" s="399"/>
      <c r="H37" s="399"/>
      <c r="I37" s="400"/>
    </row>
    <row r="38" spans="2:9" x14ac:dyDescent="0.25">
      <c r="B38" s="46"/>
      <c r="C38" s="46"/>
      <c r="D38" s="46"/>
      <c r="E38" s="46"/>
      <c r="F38" s="46"/>
      <c r="G38" s="46"/>
      <c r="H38" s="46"/>
      <c r="I38" s="46"/>
    </row>
    <row r="39" spans="2:9" ht="15.75" thickBot="1" x14ac:dyDescent="0.3">
      <c r="B39" s="386" t="s">
        <v>93</v>
      </c>
      <c r="C39" s="401" t="s">
        <v>95</v>
      </c>
      <c r="D39" s="402"/>
      <c r="E39" s="402"/>
      <c r="F39" s="403"/>
      <c r="G39" s="47"/>
      <c r="H39" s="48"/>
      <c r="I39" s="49"/>
    </row>
    <row r="40" spans="2:9" x14ac:dyDescent="0.25">
      <c r="B40" s="386"/>
      <c r="C40" s="388" t="s">
        <v>96</v>
      </c>
      <c r="D40" s="389"/>
      <c r="E40" s="388" t="s">
        <v>97</v>
      </c>
      <c r="F40" s="389"/>
      <c r="G40" s="390" t="s">
        <v>98</v>
      </c>
      <c r="H40" s="391"/>
      <c r="I40" s="54" t="s">
        <v>59</v>
      </c>
    </row>
    <row r="41" spans="2:9" ht="26.25" thickBot="1" x14ac:dyDescent="0.3">
      <c r="B41" s="55"/>
      <c r="C41" s="56" t="s">
        <v>103</v>
      </c>
      <c r="D41" s="56" t="s">
        <v>104</v>
      </c>
      <c r="E41" s="56" t="s">
        <v>103</v>
      </c>
      <c r="F41" s="56" t="s">
        <v>104</v>
      </c>
      <c r="G41" s="404" t="s">
        <v>99</v>
      </c>
      <c r="H41" s="405"/>
      <c r="I41" s="59" t="s">
        <v>100</v>
      </c>
    </row>
    <row r="42" spans="2:9" ht="26.25" thickBot="1" x14ac:dyDescent="0.3">
      <c r="B42" s="60" t="s">
        <v>101</v>
      </c>
      <c r="C42" s="61"/>
      <c r="D42" s="62"/>
      <c r="E42" s="61"/>
      <c r="F42" s="62"/>
      <c r="G42" s="406"/>
      <c r="H42" s="407"/>
      <c r="I42" s="65"/>
    </row>
    <row r="43" spans="2:9" x14ac:dyDescent="0.25">
      <c r="B43" s="66"/>
      <c r="C43" s="67"/>
      <c r="D43" s="68"/>
      <c r="E43" s="67"/>
      <c r="F43" s="68"/>
      <c r="G43" s="408"/>
      <c r="H43" s="409"/>
      <c r="I43" s="71"/>
    </row>
    <row r="44" spans="2:9" x14ac:dyDescent="0.25">
      <c r="B44" s="66"/>
      <c r="C44" s="67"/>
      <c r="D44" s="68"/>
      <c r="E44" s="67"/>
      <c r="F44" s="68"/>
      <c r="G44" s="378"/>
      <c r="H44" s="379"/>
      <c r="I44" s="71"/>
    </row>
    <row r="45" spans="2:9" x14ac:dyDescent="0.25">
      <c r="B45" s="66"/>
      <c r="C45" s="67"/>
      <c r="D45" s="68"/>
      <c r="E45" s="67"/>
      <c r="F45" s="68"/>
      <c r="G45" s="378"/>
      <c r="H45" s="379"/>
      <c r="I45" s="71"/>
    </row>
    <row r="46" spans="2:9" ht="15.75" thickBot="1" x14ac:dyDescent="0.3">
      <c r="B46" s="74"/>
      <c r="C46" s="75"/>
      <c r="D46" s="76"/>
      <c r="E46" s="75"/>
      <c r="F46" s="76"/>
      <c r="G46" s="392"/>
      <c r="H46" s="393"/>
      <c r="I46" s="79"/>
    </row>
    <row r="47" spans="2:9" ht="16.5" thickTop="1" thickBot="1" x14ac:dyDescent="0.3">
      <c r="B47" s="80" t="s">
        <v>102</v>
      </c>
      <c r="C47" s="81"/>
      <c r="D47" s="81"/>
      <c r="E47" s="81"/>
      <c r="F47" s="81"/>
      <c r="G47" s="384"/>
      <c r="H47" s="385"/>
      <c r="I47" s="115"/>
    </row>
    <row r="48" spans="2:9" x14ac:dyDescent="0.25">
      <c r="B48" s="84" t="s">
        <v>143</v>
      </c>
      <c r="C48" s="85" t="s">
        <v>143</v>
      </c>
      <c r="D48" s="86"/>
      <c r="E48" s="87"/>
      <c r="F48" s="87"/>
      <c r="G48" s="87"/>
      <c r="H48" s="87"/>
      <c r="I48" s="87"/>
    </row>
    <row r="49" spans="2:9" x14ac:dyDescent="0.25">
      <c r="D49" s="86"/>
      <c r="E49" s="87"/>
      <c r="F49" s="87"/>
      <c r="G49" s="87"/>
      <c r="H49" s="87"/>
      <c r="I49" s="87"/>
    </row>
    <row r="50" spans="2:9" ht="15.75" thickBot="1" x14ac:dyDescent="0.3">
      <c r="B50" s="386" t="s">
        <v>105</v>
      </c>
      <c r="C50" s="387" t="s">
        <v>95</v>
      </c>
      <c r="D50" s="387"/>
      <c r="E50" s="387"/>
      <c r="F50" s="387"/>
      <c r="G50" s="88"/>
      <c r="H50" s="89"/>
      <c r="I50" s="90"/>
    </row>
    <row r="51" spans="2:9" x14ac:dyDescent="0.25">
      <c r="B51" s="386"/>
      <c r="C51" s="388" t="s">
        <v>96</v>
      </c>
      <c r="D51" s="389"/>
      <c r="E51" s="388" t="s">
        <v>97</v>
      </c>
      <c r="F51" s="389"/>
      <c r="G51" s="390" t="s">
        <v>98</v>
      </c>
      <c r="H51" s="391"/>
      <c r="I51" s="54" t="s">
        <v>59</v>
      </c>
    </row>
    <row r="52" spans="2:9" ht="15.75" thickBot="1" x14ac:dyDescent="0.3">
      <c r="B52" s="91"/>
      <c r="C52" s="56" t="s">
        <v>103</v>
      </c>
      <c r="D52" s="56" t="s">
        <v>104</v>
      </c>
      <c r="E52" s="56" t="s">
        <v>103</v>
      </c>
      <c r="F52" s="56" t="s">
        <v>104</v>
      </c>
      <c r="G52" s="376" t="s">
        <v>99</v>
      </c>
      <c r="H52" s="377"/>
      <c r="I52" s="94"/>
    </row>
    <row r="53" spans="2:9" x14ac:dyDescent="0.25">
      <c r="B53" s="95" t="s">
        <v>106</v>
      </c>
      <c r="C53" s="96"/>
      <c r="D53" s="68"/>
      <c r="E53" s="97"/>
      <c r="F53" s="68"/>
      <c r="G53" s="378"/>
      <c r="H53" s="379"/>
      <c r="I53" s="98"/>
    </row>
    <row r="54" spans="2:9" x14ac:dyDescent="0.25">
      <c r="B54" s="95" t="s">
        <v>2</v>
      </c>
      <c r="C54" s="99"/>
      <c r="D54" s="68"/>
      <c r="E54" s="97"/>
      <c r="F54" s="68"/>
      <c r="G54" s="380"/>
      <c r="H54" s="381"/>
      <c r="I54" s="98"/>
    </row>
    <row r="55" spans="2:9" ht="15.75" thickBot="1" x14ac:dyDescent="0.3">
      <c r="B55" s="116" t="s">
        <v>66</v>
      </c>
      <c r="C55" s="117"/>
      <c r="D55" s="118"/>
      <c r="E55" s="119"/>
      <c r="F55" s="118"/>
      <c r="G55" s="113"/>
      <c r="H55" s="114"/>
      <c r="I55" s="120"/>
    </row>
    <row r="56" spans="2:9" ht="16.5" thickTop="1" thickBot="1" x14ac:dyDescent="0.3">
      <c r="B56" s="102">
        <v>0</v>
      </c>
      <c r="C56" s="103"/>
      <c r="D56" s="104"/>
      <c r="E56" s="105"/>
      <c r="F56" s="104"/>
      <c r="G56" s="382"/>
      <c r="H56" s="383"/>
      <c r="I56" s="108"/>
    </row>
  </sheetData>
  <mergeCells count="23">
    <mergeCell ref="G46:H46"/>
    <mergeCell ref="B9:C9"/>
    <mergeCell ref="B36:I37"/>
    <mergeCell ref="B39:B40"/>
    <mergeCell ref="C39:F39"/>
    <mergeCell ref="C40:D40"/>
    <mergeCell ref="E40:F40"/>
    <mergeCell ref="G40:H40"/>
    <mergeCell ref="G41:H41"/>
    <mergeCell ref="G42:H42"/>
    <mergeCell ref="G43:H43"/>
    <mergeCell ref="G44:H44"/>
    <mergeCell ref="G45:H45"/>
    <mergeCell ref="B50:B51"/>
    <mergeCell ref="C50:F50"/>
    <mergeCell ref="C51:D51"/>
    <mergeCell ref="E51:F51"/>
    <mergeCell ref="G51:H51"/>
    <mergeCell ref="G52:H52"/>
    <mergeCell ref="G53:H53"/>
    <mergeCell ref="G54:H54"/>
    <mergeCell ref="G56:H56"/>
    <mergeCell ref="G47:H47"/>
  </mergeCells>
  <conditionalFormatting sqref="C13">
    <cfRule type="cellIs" dxfId="85" priority="8" operator="equal">
      <formula>$C$8+$C$10+$C$11</formula>
    </cfRule>
    <cfRule type="cellIs" dxfId="84" priority="10" operator="equal">
      <formula>157.5</formula>
    </cfRule>
  </conditionalFormatting>
  <conditionalFormatting sqref="C21">
    <cfRule type="cellIs" dxfId="83" priority="9" operator="equal">
      <formula>$C$13</formula>
    </cfRule>
  </conditionalFormatting>
  <conditionalFormatting sqref="B43:B44">
    <cfRule type="containsText" dxfId="82" priority="6" operator="containsText" text="Aucun">
      <formula>NOT(ISERROR(SEARCH("Aucun",B43)))</formula>
    </cfRule>
    <cfRule type="containsText" dxfId="81" priority="7" operator="containsText" text="Nom industriel">
      <formula>NOT(ISERROR(SEARCH("Nom industriel",B43)))</formula>
    </cfRule>
  </conditionalFormatting>
  <conditionalFormatting sqref="B48">
    <cfRule type="expression" dxfId="80" priority="5">
      <formula>$D$19=Mitacs</formula>
    </cfRule>
  </conditionalFormatting>
  <conditionalFormatting sqref="C48">
    <cfRule type="expression" dxfId="79" priority="4">
      <formula>$D$19=Mitacs</formula>
    </cfRule>
  </conditionalFormatting>
  <conditionalFormatting sqref="B45:B46">
    <cfRule type="containsText" dxfId="78" priority="2" operator="containsText" text="Aucun">
      <formula>NOT(ISERROR(SEARCH("Aucun",B45)))</formula>
    </cfRule>
    <cfRule type="containsText" dxfId="77" priority="3" operator="containsText" text="Nom industriel">
      <formula>NOT(ISERROR(SEARCH("Nom industriel",B45)))</formula>
    </cfRule>
  </conditionalFormatting>
  <conditionalFormatting sqref="C54:C55">
    <cfRule type="containsText" dxfId="76" priority="1" operator="containsText" text="inscrivez">
      <formula>NOT(ISERROR(SEARCH("inscrivez",C54)))</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6:I57"/>
  <sheetViews>
    <sheetView topLeftCell="A37" workbookViewId="0">
      <selection activeCell="B16" sqref="B16:I16"/>
    </sheetView>
  </sheetViews>
  <sheetFormatPr baseColWidth="10" defaultColWidth="9.140625" defaultRowHeight="15" x14ac:dyDescent="0.25"/>
  <cols>
    <col min="2" max="2" width="24.42578125" customWidth="1"/>
    <col min="3" max="3" width="15.140625" customWidth="1"/>
    <col min="6" max="6" width="10" customWidth="1"/>
  </cols>
  <sheetData>
    <row r="6" spans="2:7" x14ac:dyDescent="0.25">
      <c r="F6" t="s">
        <v>41</v>
      </c>
      <c r="G6" s="24">
        <v>0.2</v>
      </c>
    </row>
    <row r="7" spans="2:7" x14ac:dyDescent="0.25">
      <c r="F7" t="s">
        <v>42</v>
      </c>
      <c r="G7" s="23" t="e">
        <f>(0.6-G9)/1.45</f>
        <v>#DIV/0!</v>
      </c>
    </row>
    <row r="8" spans="2:7" ht="15.75" thickBot="1" x14ac:dyDescent="0.3">
      <c r="G8" s="23"/>
    </row>
    <row r="9" spans="2:7" ht="15.75" thickBot="1" x14ac:dyDescent="0.3">
      <c r="B9" s="29" t="s">
        <v>44</v>
      </c>
      <c r="C9" s="139">
        <f>'Budget de projet'!G43</f>
        <v>0</v>
      </c>
      <c r="F9" t="s">
        <v>141</v>
      </c>
      <c r="G9" s="21" t="e">
        <f>'Budget de projet'!G51/'Budget de projet'!G53</f>
        <v>#DIV/0!</v>
      </c>
    </row>
    <row r="10" spans="2:7" x14ac:dyDescent="0.25">
      <c r="B10" s="394" t="s">
        <v>45</v>
      </c>
      <c r="C10" s="394"/>
      <c r="F10" t="s">
        <v>43</v>
      </c>
      <c r="G10" s="23" t="e">
        <f>G7/4</f>
        <v>#DIV/0!</v>
      </c>
    </row>
    <row r="11" spans="2:7" x14ac:dyDescent="0.25">
      <c r="B11" s="30" t="s">
        <v>46</v>
      </c>
      <c r="C11" s="37">
        <f>C9*0.02</f>
        <v>0</v>
      </c>
      <c r="F11" t="s">
        <v>2</v>
      </c>
      <c r="G11" s="23" t="e">
        <f>G7/5</f>
        <v>#DIV/0!</v>
      </c>
    </row>
    <row r="12" spans="2:7" x14ac:dyDescent="0.25">
      <c r="B12" s="30" t="s">
        <v>47</v>
      </c>
      <c r="C12" s="37">
        <f>C9*0.03</f>
        <v>0</v>
      </c>
      <c r="F12" t="s">
        <v>55</v>
      </c>
      <c r="G12" s="8">
        <v>0.2</v>
      </c>
    </row>
    <row r="13" spans="2:7" ht="15.75" thickBot="1" x14ac:dyDescent="0.3">
      <c r="B13" s="141" t="s">
        <v>140</v>
      </c>
      <c r="C13" s="142">
        <f>'Budget de projet'!G51</f>
        <v>0</v>
      </c>
      <c r="D13" s="21" t="e">
        <f>C13/C14</f>
        <v>#DIV/0!</v>
      </c>
      <c r="F13" s="32" t="s">
        <v>50</v>
      </c>
      <c r="G13" s="22" t="e">
        <f>SUM(G6:G12)</f>
        <v>#DIV/0!</v>
      </c>
    </row>
    <row r="14" spans="2:7" ht="15.75" thickBot="1" x14ac:dyDescent="0.3">
      <c r="B14" s="31" t="s">
        <v>48</v>
      </c>
      <c r="C14" s="140">
        <f>C9*1.05+C13</f>
        <v>0</v>
      </c>
      <c r="D14" s="21"/>
    </row>
    <row r="15" spans="2:7" x14ac:dyDescent="0.25">
      <c r="C15" s="6"/>
      <c r="D15" s="21"/>
    </row>
    <row r="16" spans="2:7" x14ac:dyDescent="0.25">
      <c r="B16" t="s">
        <v>56</v>
      </c>
      <c r="C16" s="6">
        <f>C14*0.2</f>
        <v>0</v>
      </c>
      <c r="D16" s="21" t="e">
        <f>C16/C14</f>
        <v>#DIV/0!</v>
      </c>
    </row>
    <row r="17" spans="2:6" x14ac:dyDescent="0.25">
      <c r="B17" t="s">
        <v>51</v>
      </c>
      <c r="C17" s="6" t="e">
        <f>IF(C14*G7 &lt;=187500,C14*G7,187500)</f>
        <v>#DIV/0!</v>
      </c>
      <c r="D17" s="21" t="e">
        <f>C17/C14</f>
        <v>#DIV/0!</v>
      </c>
    </row>
    <row r="18" spans="2:6" x14ac:dyDescent="0.25">
      <c r="B18" t="s">
        <v>52</v>
      </c>
      <c r="C18" s="6" t="e">
        <f>IF(C14*G11 &lt;=37500,C14*G11,37500)</f>
        <v>#DIV/0!</v>
      </c>
      <c r="D18" s="21" t="e">
        <f>C18/C14</f>
        <v>#DIV/0!</v>
      </c>
    </row>
    <row r="19" spans="2:6" x14ac:dyDescent="0.25">
      <c r="B19" t="s">
        <v>55</v>
      </c>
      <c r="C19" s="6">
        <f>0.2*C14</f>
        <v>0</v>
      </c>
      <c r="D19" s="21" t="e">
        <f>C19/C14</f>
        <v>#DIV/0!</v>
      </c>
      <c r="E19" s="33" t="e">
        <f>C17+C21</f>
        <v>#DIV/0!</v>
      </c>
      <c r="F19">
        <f>0.2*C14</f>
        <v>0</v>
      </c>
    </row>
    <row r="20" spans="2:6" x14ac:dyDescent="0.25">
      <c r="B20" t="s">
        <v>54</v>
      </c>
      <c r="C20" s="6" t="e">
        <f>C14-C16-C17-C18-C19-C13</f>
        <v>#DIV/0!</v>
      </c>
      <c r="D20" s="21" t="e">
        <f>C20/C14</f>
        <v>#DIV/0!</v>
      </c>
    </row>
    <row r="21" spans="2:6" ht="15.75" thickBot="1" x14ac:dyDescent="0.3">
      <c r="C21" s="6"/>
    </row>
    <row r="22" spans="2:6" ht="15.75" thickBot="1" x14ac:dyDescent="0.3">
      <c r="B22" s="31" t="s">
        <v>48</v>
      </c>
      <c r="C22" s="39" t="e">
        <f>SUM(C16:C20)</f>
        <v>#DIV/0!</v>
      </c>
    </row>
    <row r="36" spans="2:9" ht="15.75" thickBot="1" x14ac:dyDescent="0.3"/>
    <row r="37" spans="2:9" ht="14.45" customHeight="1" x14ac:dyDescent="0.25">
      <c r="B37" s="40" t="s">
        <v>94</v>
      </c>
      <c r="C37" s="41"/>
      <c r="D37" s="41"/>
      <c r="E37" s="41"/>
      <c r="F37" s="41"/>
      <c r="G37" s="41"/>
      <c r="H37" s="41"/>
      <c r="I37" s="42"/>
    </row>
    <row r="38" spans="2:9" ht="15" customHeight="1" thickBot="1" x14ac:dyDescent="0.3">
      <c r="B38" s="43"/>
      <c r="C38" s="44"/>
      <c r="D38" s="44"/>
      <c r="E38" s="44"/>
      <c r="F38" s="44"/>
      <c r="G38" s="44"/>
      <c r="H38" s="44"/>
      <c r="I38" s="45"/>
    </row>
    <row r="39" spans="2:9" x14ac:dyDescent="0.25">
      <c r="B39" s="46"/>
      <c r="C39" s="46"/>
      <c r="D39" s="46"/>
      <c r="E39" s="46"/>
      <c r="F39" s="46"/>
      <c r="G39" s="46"/>
      <c r="H39" s="46"/>
      <c r="I39" s="46"/>
    </row>
    <row r="40" spans="2:9" ht="15" customHeight="1" thickBot="1" x14ac:dyDescent="0.3">
      <c r="B40" s="386" t="s">
        <v>93</v>
      </c>
      <c r="C40" s="110" t="s">
        <v>95</v>
      </c>
      <c r="D40" s="111"/>
      <c r="E40" s="111"/>
      <c r="F40" s="112"/>
      <c r="G40" s="47"/>
      <c r="H40" s="48"/>
      <c r="I40" s="49"/>
    </row>
    <row r="41" spans="2:9" ht="14.45" customHeight="1" x14ac:dyDescent="0.25">
      <c r="B41" s="386"/>
      <c r="C41" s="388" t="s">
        <v>96</v>
      </c>
      <c r="D41" s="389"/>
      <c r="E41" s="50" t="s">
        <v>97</v>
      </c>
      <c r="F41" s="51"/>
      <c r="G41" s="52" t="s">
        <v>98</v>
      </c>
      <c r="H41" s="53"/>
      <c r="I41" s="54" t="s">
        <v>59</v>
      </c>
    </row>
    <row r="42" spans="2:9" ht="26.25" thickBot="1" x14ac:dyDescent="0.3">
      <c r="B42" s="55"/>
      <c r="C42" s="56" t="s">
        <v>103</v>
      </c>
      <c r="D42" s="56" t="s">
        <v>104</v>
      </c>
      <c r="E42" s="56" t="s">
        <v>103</v>
      </c>
      <c r="F42" s="56" t="s">
        <v>104</v>
      </c>
      <c r="G42" s="57" t="s">
        <v>99</v>
      </c>
      <c r="H42" s="58"/>
      <c r="I42" s="59" t="s">
        <v>100</v>
      </c>
    </row>
    <row r="43" spans="2:9" ht="26.25" thickBot="1" x14ac:dyDescent="0.3">
      <c r="B43" s="60" t="s">
        <v>101</v>
      </c>
      <c r="C43" s="61"/>
      <c r="D43" s="62"/>
      <c r="E43" s="61"/>
      <c r="F43" s="62"/>
      <c r="G43" s="63"/>
      <c r="H43" s="64"/>
      <c r="I43" s="65"/>
    </row>
    <row r="44" spans="2:9" x14ac:dyDescent="0.25">
      <c r="B44" s="66"/>
      <c r="C44" s="67"/>
      <c r="D44" s="68"/>
      <c r="E44" s="67"/>
      <c r="F44" s="68"/>
      <c r="G44" s="69"/>
      <c r="H44" s="70"/>
      <c r="I44" s="71"/>
    </row>
    <row r="45" spans="2:9" x14ac:dyDescent="0.25">
      <c r="B45" s="66"/>
      <c r="C45" s="67"/>
      <c r="D45" s="68"/>
      <c r="E45" s="67"/>
      <c r="F45" s="68"/>
      <c r="G45" s="72"/>
      <c r="H45" s="73"/>
      <c r="I45" s="71"/>
    </row>
    <row r="46" spans="2:9" x14ac:dyDescent="0.25">
      <c r="B46" s="66"/>
      <c r="C46" s="67"/>
      <c r="D46" s="68"/>
      <c r="E46" s="67"/>
      <c r="F46" s="68"/>
      <c r="G46" s="72"/>
      <c r="H46" s="73"/>
      <c r="I46" s="71"/>
    </row>
    <row r="47" spans="2:9" ht="15.75" thickBot="1" x14ac:dyDescent="0.3">
      <c r="B47" s="74"/>
      <c r="C47" s="75"/>
      <c r="D47" s="76"/>
      <c r="E47" s="75"/>
      <c r="F47" s="76"/>
      <c r="G47" s="77"/>
      <c r="H47" s="78"/>
      <c r="I47" s="79"/>
    </row>
    <row r="48" spans="2:9" ht="16.5" thickTop="1" thickBot="1" x14ac:dyDescent="0.3">
      <c r="B48" s="80" t="s">
        <v>102</v>
      </c>
      <c r="C48" s="81"/>
      <c r="D48" s="81"/>
      <c r="E48" s="81"/>
      <c r="F48" s="81"/>
      <c r="G48" s="82"/>
      <c r="H48" s="83"/>
      <c r="I48" s="115"/>
    </row>
    <row r="49" spans="2:9" x14ac:dyDescent="0.25">
      <c r="B49" s="84" t="s">
        <v>143</v>
      </c>
      <c r="C49" s="85" t="s">
        <v>143</v>
      </c>
      <c r="D49" s="86"/>
      <c r="E49" s="87"/>
      <c r="F49" s="87"/>
      <c r="G49" s="87"/>
      <c r="H49" s="87"/>
      <c r="I49" s="87"/>
    </row>
    <row r="50" spans="2:9" x14ac:dyDescent="0.25">
      <c r="D50" s="86"/>
      <c r="E50" s="87"/>
      <c r="F50" s="87"/>
      <c r="G50" s="87"/>
      <c r="H50" s="87"/>
      <c r="I50" s="87"/>
    </row>
    <row r="51" spans="2:9" ht="15" customHeight="1" thickBot="1" x14ac:dyDescent="0.3">
      <c r="B51" s="386" t="s">
        <v>105</v>
      </c>
      <c r="C51" s="109" t="s">
        <v>95</v>
      </c>
      <c r="D51" s="109"/>
      <c r="E51" s="109"/>
      <c r="F51" s="109"/>
      <c r="G51" s="88"/>
      <c r="H51" s="89"/>
      <c r="I51" s="90"/>
    </row>
    <row r="52" spans="2:9" ht="14.45" customHeight="1" x14ac:dyDescent="0.25">
      <c r="B52" s="386"/>
      <c r="C52" s="388" t="s">
        <v>96</v>
      </c>
      <c r="D52" s="389"/>
      <c r="E52" s="50" t="s">
        <v>97</v>
      </c>
      <c r="F52" s="51"/>
      <c r="G52" s="52" t="s">
        <v>98</v>
      </c>
      <c r="H52" s="53"/>
      <c r="I52" s="54" t="s">
        <v>59</v>
      </c>
    </row>
    <row r="53" spans="2:9" ht="15.75" thickBot="1" x14ac:dyDescent="0.3">
      <c r="B53" s="91"/>
      <c r="C53" s="56" t="s">
        <v>103</v>
      </c>
      <c r="D53" s="56" t="s">
        <v>104</v>
      </c>
      <c r="E53" s="56" t="s">
        <v>103</v>
      </c>
      <c r="F53" s="56" t="s">
        <v>104</v>
      </c>
      <c r="G53" s="92" t="s">
        <v>99</v>
      </c>
      <c r="H53" s="93"/>
      <c r="I53" s="94"/>
    </row>
    <row r="54" spans="2:9" x14ac:dyDescent="0.25">
      <c r="B54" s="95" t="s">
        <v>106</v>
      </c>
      <c r="C54" s="96"/>
      <c r="D54" s="68"/>
      <c r="E54" s="97"/>
      <c r="F54" s="68"/>
      <c r="G54" s="72"/>
      <c r="H54" s="73"/>
      <c r="I54" s="98"/>
    </row>
    <row r="55" spans="2:9" x14ac:dyDescent="0.25">
      <c r="B55" s="95" t="s">
        <v>2</v>
      </c>
      <c r="C55" s="99"/>
      <c r="D55" s="68"/>
      <c r="E55" s="97"/>
      <c r="F55" s="68"/>
      <c r="G55" s="100"/>
      <c r="H55" s="101"/>
      <c r="I55" s="98"/>
    </row>
    <row r="56" spans="2:9" ht="15.75" thickBot="1" x14ac:dyDescent="0.3">
      <c r="B56" s="116" t="s">
        <v>66</v>
      </c>
      <c r="C56" s="117"/>
      <c r="D56" s="118"/>
      <c r="E56" s="119"/>
      <c r="F56" s="118"/>
      <c r="G56" s="113"/>
      <c r="H56" s="114"/>
      <c r="I56" s="120"/>
    </row>
    <row r="57" spans="2:9" ht="16.5" thickTop="1" thickBot="1" x14ac:dyDescent="0.3">
      <c r="B57" s="102">
        <v>0</v>
      </c>
      <c r="C57" s="103"/>
      <c r="D57" s="104"/>
      <c r="E57" s="105"/>
      <c r="F57" s="104"/>
      <c r="G57" s="106"/>
      <c r="H57" s="107"/>
      <c r="I57" s="108"/>
    </row>
  </sheetData>
  <mergeCells count="5">
    <mergeCell ref="B10:C10"/>
    <mergeCell ref="B40:B41"/>
    <mergeCell ref="C41:D41"/>
    <mergeCell ref="B51:B52"/>
    <mergeCell ref="C52:D52"/>
  </mergeCells>
  <conditionalFormatting sqref="C14">
    <cfRule type="cellIs" dxfId="75" priority="8" operator="equal">
      <formula>$C$9+$C$11+$C$12</formula>
    </cfRule>
    <cfRule type="cellIs" dxfId="74" priority="10" operator="equal">
      <formula>157.5</formula>
    </cfRule>
  </conditionalFormatting>
  <conditionalFormatting sqref="C22">
    <cfRule type="cellIs" dxfId="73" priority="9" operator="equal">
      <formula>$C$14</formula>
    </cfRule>
  </conditionalFormatting>
  <conditionalFormatting sqref="B44:B45">
    <cfRule type="containsText" dxfId="72" priority="6" operator="containsText" text="Aucun">
      <formula>NOT(ISERROR(SEARCH("Aucun",B44)))</formula>
    </cfRule>
    <cfRule type="containsText" dxfId="71" priority="7" operator="containsText" text="Nom industriel">
      <formula>NOT(ISERROR(SEARCH("Nom industriel",B44)))</formula>
    </cfRule>
  </conditionalFormatting>
  <conditionalFormatting sqref="B49">
    <cfRule type="expression" dxfId="70" priority="5">
      <formula>$D$20=Mitacs</formula>
    </cfRule>
  </conditionalFormatting>
  <conditionalFormatting sqref="C49">
    <cfRule type="expression" dxfId="69" priority="4">
      <formula>$D$20=Mitacs</formula>
    </cfRule>
  </conditionalFormatting>
  <conditionalFormatting sqref="B46:B47">
    <cfRule type="containsText" dxfId="68" priority="2" operator="containsText" text="Aucun">
      <formula>NOT(ISERROR(SEARCH("Aucun",B46)))</formula>
    </cfRule>
    <cfRule type="containsText" dxfId="67" priority="3" operator="containsText" text="Nom industriel">
      <formula>NOT(ISERROR(SEARCH("Nom industriel",B46)))</formula>
    </cfRule>
  </conditionalFormatting>
  <conditionalFormatting sqref="C55:C56">
    <cfRule type="containsText" dxfId="66" priority="1" operator="containsText" text="inscrivez">
      <formula>NOT(ISERROR(SEARCH("inscrivez",C55)))</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opLeftCell="A88" zoomScale="85" zoomScaleNormal="85" workbookViewId="0">
      <selection activeCell="B77" sqref="B77:H78"/>
    </sheetView>
  </sheetViews>
  <sheetFormatPr baseColWidth="10" defaultColWidth="9.140625" defaultRowHeight="15" x14ac:dyDescent="0.25"/>
  <cols>
    <col min="2" max="2" width="47.5703125" customWidth="1"/>
    <col min="3" max="3" width="22.140625" customWidth="1"/>
    <col min="4" max="4" width="19.28515625" customWidth="1"/>
    <col min="5" max="5" width="22.85546875" customWidth="1"/>
    <col min="6" max="6" width="11.7109375" customWidth="1"/>
    <col min="7" max="7" width="18.7109375" customWidth="1"/>
    <col min="8" max="8" width="21.28515625" customWidth="1"/>
    <col min="9" max="9" width="31.28515625" customWidth="1"/>
    <col min="10" max="10" width="33.85546875" customWidth="1"/>
    <col min="11" max="11" width="32.28515625" bestFit="1" customWidth="1"/>
    <col min="12" max="12" width="13.7109375" customWidth="1"/>
    <col min="13" max="13" width="16.28515625" customWidth="1"/>
    <col min="15" max="15" width="30" bestFit="1" customWidth="1"/>
  </cols>
  <sheetData>
    <row r="1" spans="1:13" x14ac:dyDescent="0.25">
      <c r="A1" s="305"/>
      <c r="B1" s="305"/>
      <c r="C1" s="305"/>
      <c r="D1" s="305"/>
      <c r="E1" s="305"/>
      <c r="F1" s="305"/>
      <c r="G1" s="305"/>
      <c r="H1" s="305"/>
      <c r="I1" s="305"/>
      <c r="J1" s="305"/>
    </row>
    <row r="2" spans="1:13" x14ac:dyDescent="0.25">
      <c r="A2" s="305"/>
      <c r="B2" s="305"/>
      <c r="C2" s="305"/>
      <c r="E2" s="305"/>
      <c r="F2" s="305"/>
      <c r="G2" s="305"/>
      <c r="H2" s="305"/>
      <c r="I2" s="305"/>
      <c r="J2" s="305"/>
    </row>
    <row r="3" spans="1:13" x14ac:dyDescent="0.25">
      <c r="A3" s="305"/>
      <c r="B3" s="305"/>
      <c r="C3" s="305"/>
      <c r="D3" s="305"/>
      <c r="E3" s="305"/>
      <c r="F3" s="305"/>
      <c r="G3" s="305"/>
      <c r="H3" s="305"/>
      <c r="I3" s="305"/>
      <c r="J3" s="305"/>
    </row>
    <row r="4" spans="1:13" x14ac:dyDescent="0.25">
      <c r="A4" s="305"/>
      <c r="B4" s="305"/>
      <c r="C4" s="305"/>
      <c r="D4" s="305"/>
      <c r="E4" s="305"/>
      <c r="F4" s="305"/>
      <c r="G4" s="305"/>
      <c r="H4" s="305"/>
      <c r="I4" s="305"/>
      <c r="J4" s="305"/>
    </row>
    <row r="5" spans="1:13" x14ac:dyDescent="0.25">
      <c r="A5" s="305"/>
      <c r="B5" s="305"/>
      <c r="D5" s="305"/>
      <c r="E5" s="305"/>
      <c r="F5" s="305"/>
      <c r="G5" s="305"/>
      <c r="H5" s="305"/>
      <c r="I5" s="305"/>
      <c r="J5" s="305"/>
    </row>
    <row r="6" spans="1:13" x14ac:dyDescent="0.25">
      <c r="A6" s="305"/>
      <c r="B6" s="305"/>
      <c r="C6" s="305"/>
      <c r="E6" s="305"/>
      <c r="F6" s="305"/>
      <c r="G6" s="305"/>
      <c r="H6" s="305"/>
      <c r="I6" s="305"/>
      <c r="J6" s="305"/>
    </row>
    <row r="7" spans="1:13" x14ac:dyDescent="0.25">
      <c r="A7" s="305"/>
      <c r="B7" s="305"/>
      <c r="C7" s="305"/>
      <c r="D7" s="305"/>
      <c r="E7" s="305"/>
      <c r="F7" s="305"/>
      <c r="G7" s="305"/>
      <c r="H7" s="305"/>
      <c r="I7" s="305"/>
      <c r="J7" s="305"/>
    </row>
    <row r="8" spans="1:13" ht="36" x14ac:dyDescent="0.55000000000000004">
      <c r="A8" s="305"/>
      <c r="B8" s="305"/>
      <c r="C8" s="305"/>
      <c r="D8" s="307" t="s">
        <v>221</v>
      </c>
      <c r="E8" s="305"/>
      <c r="F8" s="305"/>
      <c r="G8" s="305"/>
      <c r="H8" s="305"/>
      <c r="I8" s="305"/>
      <c r="J8" s="305"/>
    </row>
    <row r="9" spans="1:13" x14ac:dyDescent="0.25">
      <c r="A9" s="305"/>
      <c r="B9" s="305"/>
      <c r="C9" s="305"/>
      <c r="D9" s="305"/>
      <c r="E9" s="305"/>
      <c r="F9" s="305"/>
      <c r="G9" s="305"/>
      <c r="H9" s="305"/>
      <c r="I9" s="305"/>
      <c r="J9" s="305"/>
    </row>
    <row r="10" spans="1:13" ht="23.25" x14ac:dyDescent="0.35">
      <c r="A10" s="305"/>
      <c r="B10" s="363" t="s">
        <v>144</v>
      </c>
      <c r="C10" s="362"/>
      <c r="D10" s="362"/>
      <c r="E10" s="362"/>
      <c r="F10" s="362"/>
      <c r="G10" s="362"/>
      <c r="H10" s="362"/>
      <c r="I10" s="362"/>
      <c r="J10" s="305"/>
    </row>
    <row r="11" spans="1:13" ht="25.5" customHeight="1" x14ac:dyDescent="0.25">
      <c r="A11" s="305"/>
      <c r="B11" s="420" t="s">
        <v>347</v>
      </c>
      <c r="C11" s="420"/>
      <c r="D11" s="420"/>
      <c r="E11" s="420"/>
      <c r="F11" s="420"/>
      <c r="G11" s="420"/>
      <c r="H11" s="420"/>
      <c r="I11" s="420"/>
      <c r="J11" s="305"/>
    </row>
    <row r="12" spans="1:13" ht="27.75" customHeight="1" x14ac:dyDescent="0.25">
      <c r="A12" s="305"/>
      <c r="B12" s="420" t="s">
        <v>339</v>
      </c>
      <c r="C12" s="420"/>
      <c r="D12" s="420"/>
      <c r="E12" s="420"/>
      <c r="F12" s="420"/>
      <c r="G12" s="420"/>
      <c r="H12" s="420"/>
      <c r="I12" s="420"/>
      <c r="J12" s="305"/>
    </row>
    <row r="13" spans="1:13" ht="84.75" customHeight="1" x14ac:dyDescent="0.25">
      <c r="A13" s="305"/>
      <c r="B13" s="421" t="s">
        <v>342</v>
      </c>
      <c r="C13" s="421"/>
      <c r="D13" s="421"/>
      <c r="E13" s="421"/>
      <c r="F13" s="421"/>
      <c r="G13" s="421"/>
      <c r="H13" s="421"/>
      <c r="I13" s="421"/>
      <c r="J13" s="305"/>
      <c r="K13" s="132"/>
      <c r="L13" s="410" t="s">
        <v>116</v>
      </c>
      <c r="M13" s="410"/>
    </row>
    <row r="14" spans="1:13" ht="31.5" customHeight="1" x14ac:dyDescent="0.25">
      <c r="A14" s="305"/>
      <c r="B14" s="422" t="s">
        <v>349</v>
      </c>
      <c r="C14" s="422"/>
      <c r="D14" s="422"/>
      <c r="E14" s="422"/>
      <c r="F14" s="422"/>
      <c r="G14" s="422"/>
      <c r="H14" s="422"/>
      <c r="I14" s="422"/>
      <c r="J14" s="305"/>
      <c r="K14" s="145" t="s">
        <v>117</v>
      </c>
      <c r="L14" s="145" t="s">
        <v>110</v>
      </c>
      <c r="M14" s="145" t="s">
        <v>41</v>
      </c>
    </row>
    <row r="15" spans="1:13" ht="27.75" customHeight="1" x14ac:dyDescent="0.25">
      <c r="A15" s="305"/>
      <c r="B15" s="420" t="s">
        <v>340</v>
      </c>
      <c r="C15" s="420"/>
      <c r="D15" s="420"/>
      <c r="E15" s="420"/>
      <c r="F15" s="420"/>
      <c r="G15" s="420"/>
      <c r="H15" s="420"/>
      <c r="I15" s="420"/>
      <c r="J15" s="305"/>
      <c r="K15" s="137" t="s">
        <v>91</v>
      </c>
      <c r="L15" s="138">
        <v>0</v>
      </c>
      <c r="M15" s="134"/>
    </row>
    <row r="16" spans="1:13" ht="81.75" customHeight="1" x14ac:dyDescent="0.25">
      <c r="A16" s="305"/>
      <c r="B16" s="423" t="s">
        <v>359</v>
      </c>
      <c r="C16" s="423"/>
      <c r="D16" s="423"/>
      <c r="E16" s="423"/>
      <c r="F16" s="423"/>
      <c r="G16" s="423"/>
      <c r="H16" s="423"/>
      <c r="I16" s="423"/>
      <c r="J16" s="305"/>
      <c r="K16" s="135" t="s">
        <v>118</v>
      </c>
      <c r="L16" s="136">
        <v>0.27</v>
      </c>
      <c r="M16" s="136">
        <v>0.27</v>
      </c>
    </row>
    <row r="17" spans="1:13" x14ac:dyDescent="0.25">
      <c r="A17" s="305"/>
      <c r="B17" s="305" t="s">
        <v>336</v>
      </c>
      <c r="C17" s="305"/>
      <c r="D17" s="305"/>
      <c r="E17" s="305"/>
      <c r="F17" s="305"/>
      <c r="G17" s="305"/>
      <c r="H17" s="305"/>
      <c r="I17" s="305"/>
      <c r="J17" s="305"/>
      <c r="K17" s="135" t="s">
        <v>119</v>
      </c>
      <c r="L17" s="136">
        <v>0.27</v>
      </c>
      <c r="M17" s="136">
        <v>0.27</v>
      </c>
    </row>
    <row r="18" spans="1:13" ht="15.75" thickBot="1" x14ac:dyDescent="0.3">
      <c r="A18" s="305"/>
      <c r="B18" s="305"/>
      <c r="C18" s="305"/>
      <c r="D18" s="305"/>
      <c r="E18" s="305"/>
      <c r="F18" s="305"/>
      <c r="G18" s="305"/>
      <c r="H18" s="305"/>
      <c r="I18" s="305"/>
      <c r="J18" s="305"/>
      <c r="K18" s="135" t="s">
        <v>120</v>
      </c>
      <c r="L18" s="136">
        <v>0.3</v>
      </c>
      <c r="M18" s="136">
        <v>0.27</v>
      </c>
    </row>
    <row r="19" spans="1:13" ht="15.75" thickBot="1" x14ac:dyDescent="0.3">
      <c r="A19" s="305"/>
      <c r="B19" s="411" t="s">
        <v>193</v>
      </c>
      <c r="C19" s="412"/>
      <c r="D19" s="305"/>
      <c r="E19" s="305"/>
      <c r="F19" s="305"/>
      <c r="G19" s="305"/>
      <c r="H19" s="305"/>
      <c r="I19" s="305"/>
      <c r="J19" s="305"/>
      <c r="K19" s="135" t="s">
        <v>121</v>
      </c>
      <c r="L19" s="136">
        <v>0.3</v>
      </c>
      <c r="M19" s="136">
        <v>0.27</v>
      </c>
    </row>
    <row r="20" spans="1:13" ht="15.75" thickBot="1" x14ac:dyDescent="0.3">
      <c r="A20" s="305"/>
      <c r="B20" s="275" t="s">
        <v>222</v>
      </c>
      <c r="C20" s="276" t="str">
        <f>'Budget de projet'!C20</f>
        <v>FRA</v>
      </c>
      <c r="D20" s="305"/>
      <c r="E20" s="413" t="s">
        <v>194</v>
      </c>
      <c r="F20" s="414"/>
      <c r="G20" s="414"/>
      <c r="H20" s="414"/>
      <c r="I20" s="415"/>
      <c r="J20" s="305"/>
      <c r="K20" s="135" t="s">
        <v>122</v>
      </c>
      <c r="L20" s="136">
        <v>0.3</v>
      </c>
      <c r="M20" s="136">
        <v>0.27</v>
      </c>
    </row>
    <row r="21" spans="1:13" x14ac:dyDescent="0.25">
      <c r="A21" s="305"/>
      <c r="B21" s="275" t="s">
        <v>281</v>
      </c>
      <c r="C21" s="276" t="str">
        <f>TRL</f>
        <v>Sélectionnez / Select</v>
      </c>
      <c r="D21" s="305"/>
      <c r="E21" s="416" t="s">
        <v>156</v>
      </c>
      <c r="F21" s="417"/>
      <c r="G21" s="283" t="s">
        <v>157</v>
      </c>
      <c r="H21" s="174" t="s">
        <v>111</v>
      </c>
      <c r="I21" s="175" t="s">
        <v>190</v>
      </c>
      <c r="J21" s="305"/>
      <c r="K21" s="135" t="s">
        <v>123</v>
      </c>
      <c r="L21" s="136">
        <v>0.3</v>
      </c>
      <c r="M21" s="136">
        <v>0.27</v>
      </c>
    </row>
    <row r="22" spans="1:13" x14ac:dyDescent="0.25">
      <c r="A22" s="305"/>
      <c r="B22" s="179" t="s">
        <v>0</v>
      </c>
      <c r="C22" s="176" t="s">
        <v>256</v>
      </c>
      <c r="D22" s="305"/>
      <c r="E22" s="418">
        <f>'Budget de projet'!E22:F22</f>
        <v>0</v>
      </c>
      <c r="F22" s="419"/>
      <c r="G22" s="313" t="s">
        <v>256</v>
      </c>
      <c r="H22" s="281" t="s">
        <v>256</v>
      </c>
      <c r="I22" s="176" t="s">
        <v>256</v>
      </c>
      <c r="J22" s="305"/>
      <c r="K22" s="135" t="s">
        <v>124</v>
      </c>
      <c r="L22" s="136">
        <v>0.27</v>
      </c>
      <c r="M22" s="136">
        <v>0.27</v>
      </c>
    </row>
    <row r="23" spans="1:13" x14ac:dyDescent="0.25">
      <c r="A23" s="305"/>
      <c r="B23" s="180" t="s">
        <v>215</v>
      </c>
      <c r="C23" s="177" t="str">
        <f>'Budget de projet'!C23</f>
        <v>Sélectionnez / Select</v>
      </c>
      <c r="D23" s="305"/>
      <c r="E23" s="418">
        <f>'Budget de projet'!E23:F23</f>
        <v>0</v>
      </c>
      <c r="F23" s="419"/>
      <c r="G23" s="313" t="s">
        <v>91</v>
      </c>
      <c r="H23" s="281" t="s">
        <v>91</v>
      </c>
      <c r="I23" s="176" t="s">
        <v>91</v>
      </c>
      <c r="J23" s="305"/>
      <c r="K23" s="135" t="s">
        <v>125</v>
      </c>
      <c r="L23" s="136">
        <v>0.27</v>
      </c>
      <c r="M23" s="136">
        <v>0.27</v>
      </c>
    </row>
    <row r="24" spans="1:13" x14ac:dyDescent="0.25">
      <c r="A24" s="305"/>
      <c r="B24" s="180" t="s">
        <v>213</v>
      </c>
      <c r="C24" s="177">
        <f>'Budget de projet'!C24</f>
        <v>0</v>
      </c>
      <c r="D24" s="305"/>
      <c r="E24" s="418">
        <f>'Budget de projet'!E24:F24</f>
        <v>0</v>
      </c>
      <c r="F24" s="419"/>
      <c r="G24" s="313" t="s">
        <v>91</v>
      </c>
      <c r="H24" s="281" t="s">
        <v>91</v>
      </c>
      <c r="I24" s="176" t="s">
        <v>91</v>
      </c>
      <c r="J24" s="308"/>
      <c r="K24" s="135" t="s">
        <v>126</v>
      </c>
      <c r="L24" s="136">
        <v>0.27</v>
      </c>
      <c r="M24" s="136">
        <v>0.27</v>
      </c>
    </row>
    <row r="25" spans="1:13" ht="15.75" thickBot="1" x14ac:dyDescent="0.3">
      <c r="A25" s="305"/>
      <c r="B25" s="181" t="s">
        <v>214</v>
      </c>
      <c r="C25" s="178">
        <f>'Budget de projet'!C25</f>
        <v>0</v>
      </c>
      <c r="D25" s="305"/>
      <c r="E25" s="418">
        <f>'Budget de projet'!E25:F25</f>
        <v>0</v>
      </c>
      <c r="F25" s="419"/>
      <c r="G25" s="182" t="s">
        <v>91</v>
      </c>
      <c r="H25" s="282" t="s">
        <v>91</v>
      </c>
      <c r="I25" s="182" t="s">
        <v>91</v>
      </c>
      <c r="J25" s="308"/>
      <c r="K25" s="135" t="s">
        <v>127</v>
      </c>
      <c r="L25" s="136">
        <v>0</v>
      </c>
      <c r="M25" s="136">
        <v>0</v>
      </c>
    </row>
    <row r="26" spans="1:13" ht="15.75" thickBot="1" x14ac:dyDescent="0.3">
      <c r="A26" s="305"/>
      <c r="B26" s="305"/>
      <c r="C26" s="305"/>
      <c r="D26" s="305"/>
      <c r="E26" s="305"/>
      <c r="F26" s="305"/>
      <c r="G26" s="305"/>
      <c r="H26" s="305"/>
      <c r="I26" s="305"/>
      <c r="J26" s="305"/>
      <c r="K26" s="135" t="s">
        <v>128</v>
      </c>
      <c r="L26" s="136">
        <v>0</v>
      </c>
      <c r="M26" s="136">
        <v>0</v>
      </c>
    </row>
    <row r="27" spans="1:13" ht="24" thickBot="1" x14ac:dyDescent="0.3">
      <c r="A27" s="305"/>
      <c r="B27" s="428" t="s">
        <v>192</v>
      </c>
      <c r="C27" s="429"/>
      <c r="D27" s="429"/>
      <c r="E27" s="429"/>
      <c r="F27" s="429"/>
      <c r="G27" s="429"/>
      <c r="H27" s="430"/>
      <c r="I27" s="309"/>
      <c r="J27" s="305"/>
      <c r="K27" s="135" t="s">
        <v>129</v>
      </c>
      <c r="L27" s="136">
        <v>0.3</v>
      </c>
      <c r="M27" s="136">
        <v>0.27</v>
      </c>
    </row>
    <row r="28" spans="1:13" ht="15.75" thickBot="1" x14ac:dyDescent="0.3">
      <c r="A28" s="305"/>
      <c r="B28" s="210" t="s">
        <v>69</v>
      </c>
      <c r="C28" s="431">
        <v>1</v>
      </c>
      <c r="D28" s="432"/>
      <c r="E28" s="431">
        <v>2</v>
      </c>
      <c r="F28" s="432"/>
      <c r="G28" s="431" t="s">
        <v>59</v>
      </c>
      <c r="H28" s="433"/>
      <c r="I28" s="305"/>
      <c r="J28" s="305"/>
      <c r="K28" s="135" t="s">
        <v>130</v>
      </c>
      <c r="L28" s="136">
        <v>0.3</v>
      </c>
      <c r="M28" s="136">
        <v>0.27</v>
      </c>
    </row>
    <row r="29" spans="1:13" x14ac:dyDescent="0.25">
      <c r="A29" s="305"/>
      <c r="B29" s="183" t="s">
        <v>70</v>
      </c>
      <c r="C29" s="434">
        <f>SUM(C30:C32)</f>
        <v>0</v>
      </c>
      <c r="D29" s="435"/>
      <c r="E29" s="434">
        <f>SUM(E30:E32)</f>
        <v>0</v>
      </c>
      <c r="F29" s="435"/>
      <c r="G29" s="436">
        <f>SUM(C29:F29)</f>
        <v>0</v>
      </c>
      <c r="H29" s="437"/>
      <c r="I29" s="305"/>
      <c r="J29" s="305"/>
      <c r="K29" s="135" t="s">
        <v>131</v>
      </c>
      <c r="L29" s="136">
        <v>0.27</v>
      </c>
      <c r="M29" s="136">
        <v>0.27</v>
      </c>
    </row>
    <row r="30" spans="1:13" x14ac:dyDescent="0.25">
      <c r="A30" s="305"/>
      <c r="B30" s="188" t="s">
        <v>71</v>
      </c>
      <c r="C30" s="424">
        <f>'Budget de projet'!C30:D30</f>
        <v>0</v>
      </c>
      <c r="D30" s="425"/>
      <c r="E30" s="424">
        <f>'Budget de projet'!E30:F30</f>
        <v>0</v>
      </c>
      <c r="F30" s="425"/>
      <c r="G30" s="426">
        <f>SUM(C30:F30)</f>
        <v>0</v>
      </c>
      <c r="H30" s="427"/>
      <c r="I30" s="305"/>
      <c r="J30" s="305"/>
      <c r="K30" s="135" t="s">
        <v>132</v>
      </c>
      <c r="L30" s="136">
        <v>0.27</v>
      </c>
      <c r="M30" s="136">
        <v>0.27</v>
      </c>
    </row>
    <row r="31" spans="1:13" x14ac:dyDescent="0.25">
      <c r="A31" s="305"/>
      <c r="B31" s="188" t="s">
        <v>72</v>
      </c>
      <c r="C31" s="424">
        <f>'Budget de projet'!C31:D31</f>
        <v>0</v>
      </c>
      <c r="D31" s="425"/>
      <c r="E31" s="424">
        <f>'Budget de projet'!E31:F31</f>
        <v>0</v>
      </c>
      <c r="F31" s="425"/>
      <c r="G31" s="426">
        <f t="shared" ref="G31:G42" si="0">SUM(C31:F31)</f>
        <v>0</v>
      </c>
      <c r="H31" s="427"/>
      <c r="I31" s="305"/>
      <c r="J31" s="305"/>
      <c r="K31" s="135" t="s">
        <v>133</v>
      </c>
      <c r="L31" s="136">
        <v>0.27</v>
      </c>
      <c r="M31" s="136">
        <v>0.27</v>
      </c>
    </row>
    <row r="32" spans="1:13" x14ac:dyDescent="0.25">
      <c r="A32" s="305"/>
      <c r="B32" s="189" t="s">
        <v>73</v>
      </c>
      <c r="C32" s="424">
        <f>'Budget de projet'!C32:D32</f>
        <v>0</v>
      </c>
      <c r="D32" s="425"/>
      <c r="E32" s="424">
        <f>'Budget de projet'!E32:F32</f>
        <v>0</v>
      </c>
      <c r="F32" s="425"/>
      <c r="G32" s="426">
        <f t="shared" si="0"/>
        <v>0</v>
      </c>
      <c r="H32" s="427"/>
      <c r="I32" s="305"/>
      <c r="J32" s="305"/>
      <c r="K32" s="135" t="s">
        <v>134</v>
      </c>
      <c r="L32" s="136">
        <v>0.27</v>
      </c>
      <c r="M32" s="136">
        <v>0.27</v>
      </c>
    </row>
    <row r="33" spans="1:15" x14ac:dyDescent="0.25">
      <c r="A33" s="305"/>
      <c r="B33" s="184" t="s">
        <v>74</v>
      </c>
      <c r="C33" s="438">
        <f>SUM(C34:C36)</f>
        <v>0</v>
      </c>
      <c r="D33" s="439"/>
      <c r="E33" s="438">
        <f>SUM(E34:E36)</f>
        <v>0</v>
      </c>
      <c r="F33" s="439"/>
      <c r="G33" s="440">
        <f t="shared" si="0"/>
        <v>0</v>
      </c>
      <c r="H33" s="441"/>
      <c r="I33" s="305"/>
      <c r="J33" s="305"/>
      <c r="K33" s="135" t="s">
        <v>135</v>
      </c>
      <c r="L33" s="136">
        <v>0.27</v>
      </c>
      <c r="M33" s="136">
        <v>0.27</v>
      </c>
    </row>
    <row r="34" spans="1:15" x14ac:dyDescent="0.25">
      <c r="A34" s="305"/>
      <c r="B34" s="190" t="s">
        <v>75</v>
      </c>
      <c r="C34" s="424">
        <f>'Budget de projet'!C34:D34</f>
        <v>0</v>
      </c>
      <c r="D34" s="425"/>
      <c r="E34" s="424">
        <f>'Budget de projet'!E34:F34</f>
        <v>0</v>
      </c>
      <c r="F34" s="425"/>
      <c r="G34" s="426">
        <f t="shared" si="0"/>
        <v>0</v>
      </c>
      <c r="H34" s="427"/>
      <c r="I34" s="305"/>
      <c r="J34" s="305"/>
      <c r="K34" s="135" t="s">
        <v>136</v>
      </c>
      <c r="L34" s="136">
        <v>0.27</v>
      </c>
      <c r="M34" s="136">
        <v>0.27</v>
      </c>
    </row>
    <row r="35" spans="1:15" x14ac:dyDescent="0.25">
      <c r="A35" s="305"/>
      <c r="B35" s="190" t="s">
        <v>76</v>
      </c>
      <c r="C35" s="424">
        <f>'Budget de projet'!C35:D35</f>
        <v>0</v>
      </c>
      <c r="D35" s="425"/>
      <c r="E35" s="424">
        <f>'Budget de projet'!E35:F35</f>
        <v>0</v>
      </c>
      <c r="F35" s="425"/>
      <c r="G35" s="426">
        <f t="shared" si="0"/>
        <v>0</v>
      </c>
      <c r="H35" s="427"/>
      <c r="I35" s="305"/>
      <c r="J35" s="305"/>
      <c r="K35" s="135" t="s">
        <v>137</v>
      </c>
      <c r="L35" s="136">
        <v>0.27</v>
      </c>
      <c r="M35" s="136">
        <v>0.27</v>
      </c>
    </row>
    <row r="36" spans="1:15" x14ac:dyDescent="0.25">
      <c r="A36" s="305"/>
      <c r="B36" s="191" t="s">
        <v>77</v>
      </c>
      <c r="C36" s="424">
        <f>'Budget de projet'!C36:D36</f>
        <v>0</v>
      </c>
      <c r="D36" s="425"/>
      <c r="E36" s="424">
        <f>'Budget de projet'!E36:F36</f>
        <v>0</v>
      </c>
      <c r="F36" s="425"/>
      <c r="G36" s="426">
        <f t="shared" si="0"/>
        <v>0</v>
      </c>
      <c r="H36" s="427"/>
      <c r="I36" s="305"/>
      <c r="J36" s="305"/>
      <c r="K36" s="135" t="s">
        <v>138</v>
      </c>
      <c r="L36" s="136">
        <v>0.27</v>
      </c>
      <c r="M36" s="136">
        <v>0.27</v>
      </c>
    </row>
    <row r="37" spans="1:15" x14ac:dyDescent="0.25">
      <c r="A37" s="305"/>
      <c r="B37" s="185" t="s">
        <v>78</v>
      </c>
      <c r="C37" s="438">
        <f>SUM(C38:C40)</f>
        <v>0</v>
      </c>
      <c r="D37" s="439"/>
      <c r="E37" s="438">
        <f>SUM(E38:E40)</f>
        <v>0</v>
      </c>
      <c r="F37" s="439"/>
      <c r="G37" s="440">
        <f t="shared" si="0"/>
        <v>0</v>
      </c>
      <c r="H37" s="441"/>
      <c r="I37" s="305"/>
      <c r="J37" s="305"/>
      <c r="K37" s="278" t="s">
        <v>216</v>
      </c>
      <c r="L37" s="279"/>
      <c r="M37" s="279"/>
    </row>
    <row r="38" spans="1:15" ht="15.75" thickBot="1" x14ac:dyDescent="0.3">
      <c r="A38" s="305"/>
      <c r="B38" s="190" t="s">
        <v>79</v>
      </c>
      <c r="C38" s="424">
        <f>'Budget de projet'!C38:D38</f>
        <v>0</v>
      </c>
      <c r="D38" s="425"/>
      <c r="E38" s="424">
        <f>'Budget de projet'!E38:F38</f>
        <v>0</v>
      </c>
      <c r="F38" s="425"/>
      <c r="G38" s="426">
        <f t="shared" si="0"/>
        <v>0</v>
      </c>
      <c r="H38" s="427"/>
      <c r="I38" s="305"/>
      <c r="J38" s="305"/>
    </row>
    <row r="39" spans="1:15" ht="15.75" thickBot="1" x14ac:dyDescent="0.3">
      <c r="A39" s="305"/>
      <c r="B39" s="190" t="s">
        <v>80</v>
      </c>
      <c r="C39" s="424">
        <f>'Budget de projet'!C39:D39</f>
        <v>0</v>
      </c>
      <c r="D39" s="425"/>
      <c r="E39" s="424">
        <f>'Budget de projet'!E39:F39</f>
        <v>0</v>
      </c>
      <c r="F39" s="425"/>
      <c r="G39" s="426">
        <f t="shared" si="0"/>
        <v>0</v>
      </c>
      <c r="H39" s="427"/>
      <c r="I39" s="305"/>
      <c r="J39" s="305"/>
      <c r="K39" s="277" t="s">
        <v>157</v>
      </c>
    </row>
    <row r="40" spans="1:15" x14ac:dyDescent="0.25">
      <c r="A40" s="305"/>
      <c r="B40" s="190" t="s">
        <v>81</v>
      </c>
      <c r="C40" s="424">
        <f>'Budget de projet'!C40:D40</f>
        <v>0</v>
      </c>
      <c r="D40" s="425"/>
      <c r="E40" s="424">
        <f>'Budget de projet'!E40:F40</f>
        <v>0</v>
      </c>
      <c r="F40" s="425"/>
      <c r="G40" s="426">
        <f t="shared" si="0"/>
        <v>0</v>
      </c>
      <c r="H40" s="427"/>
      <c r="I40" s="305"/>
      <c r="J40" s="305"/>
      <c r="K40" s="249" t="s">
        <v>91</v>
      </c>
    </row>
    <row r="41" spans="1:15" x14ac:dyDescent="0.25">
      <c r="A41" s="305"/>
      <c r="B41" s="185" t="s">
        <v>82</v>
      </c>
      <c r="C41" s="438">
        <f>C42</f>
        <v>0</v>
      </c>
      <c r="D41" s="439"/>
      <c r="E41" s="438">
        <f>E42</f>
        <v>0</v>
      </c>
      <c r="F41" s="439"/>
      <c r="G41" s="440">
        <f t="shared" si="0"/>
        <v>0</v>
      </c>
      <c r="H41" s="441"/>
      <c r="I41" s="305"/>
      <c r="J41" s="305"/>
      <c r="K41" s="249" t="s">
        <v>197</v>
      </c>
      <c r="L41">
        <v>350</v>
      </c>
      <c r="M41">
        <v>850</v>
      </c>
      <c r="N41">
        <v>1800</v>
      </c>
      <c r="O41">
        <v>4000</v>
      </c>
    </row>
    <row r="42" spans="1:15" ht="15.75" thickBot="1" x14ac:dyDescent="0.3">
      <c r="A42" s="305"/>
      <c r="B42" s="192" t="s">
        <v>83</v>
      </c>
      <c r="C42" s="442">
        <f>'Budget de projet'!C42:D42</f>
        <v>0</v>
      </c>
      <c r="D42" s="443"/>
      <c r="E42" s="442">
        <f>'Budget de projet'!E42:F42</f>
        <v>0</v>
      </c>
      <c r="F42" s="443"/>
      <c r="G42" s="444">
        <f t="shared" si="0"/>
        <v>0</v>
      </c>
      <c r="H42" s="445"/>
      <c r="I42" s="305"/>
      <c r="J42" s="305"/>
      <c r="K42" s="249" t="s">
        <v>158</v>
      </c>
      <c r="L42">
        <v>4000</v>
      </c>
      <c r="M42">
        <v>7500</v>
      </c>
    </row>
    <row r="43" spans="1:15" ht="15.75" thickTop="1" x14ac:dyDescent="0.25">
      <c r="A43" s="305"/>
      <c r="B43" s="186" t="s">
        <v>84</v>
      </c>
      <c r="C43" s="446">
        <f>C29+C33+C37+C41</f>
        <v>0</v>
      </c>
      <c r="D43" s="447"/>
      <c r="E43" s="446">
        <f>E29+E33+E37+E41</f>
        <v>0</v>
      </c>
      <c r="F43" s="447"/>
      <c r="G43" s="448">
        <f>G29+G33+G37+G41</f>
        <v>0</v>
      </c>
      <c r="H43" s="449"/>
      <c r="I43" s="305"/>
      <c r="J43" s="305"/>
      <c r="K43" s="249" t="s">
        <v>68</v>
      </c>
      <c r="L43">
        <v>4000</v>
      </c>
    </row>
    <row r="44" spans="1:15" x14ac:dyDescent="0.25">
      <c r="A44" s="305"/>
      <c r="B44" s="195"/>
      <c r="C44" s="196"/>
      <c r="D44" s="196"/>
      <c r="E44" s="196"/>
      <c r="F44" s="196"/>
      <c r="G44" s="196"/>
      <c r="H44" s="197"/>
      <c r="I44" s="305"/>
      <c r="J44" s="305"/>
      <c r="K44" s="249" t="s">
        <v>198</v>
      </c>
      <c r="L44">
        <v>1800</v>
      </c>
    </row>
    <row r="45" spans="1:15" x14ac:dyDescent="0.25">
      <c r="A45" s="305"/>
      <c r="B45" s="193" t="s">
        <v>85</v>
      </c>
      <c r="C45" s="456">
        <f>SUM(C46:D47)</f>
        <v>0</v>
      </c>
      <c r="D45" s="457"/>
      <c r="E45" s="456">
        <f t="shared" ref="E45" si="1">SUM(E46:F47)</f>
        <v>0</v>
      </c>
      <c r="F45" s="457"/>
      <c r="G45" s="458">
        <f>SUM(G46:H47)</f>
        <v>0</v>
      </c>
      <c r="H45" s="459"/>
      <c r="I45" s="305"/>
      <c r="J45" s="305"/>
      <c r="K45" s="249" t="s">
        <v>199</v>
      </c>
      <c r="L45">
        <v>4000</v>
      </c>
    </row>
    <row r="46" spans="1:15" x14ac:dyDescent="0.25">
      <c r="A46" s="305"/>
      <c r="B46" s="190" t="s">
        <v>337</v>
      </c>
      <c r="C46" s="456">
        <f>0.02*C43</f>
        <v>0</v>
      </c>
      <c r="D46" s="457"/>
      <c r="E46" s="456">
        <f t="shared" ref="E46" si="2">0.02*E43</f>
        <v>0</v>
      </c>
      <c r="F46" s="457"/>
      <c r="G46" s="460">
        <f>SUM(C46:F46)</f>
        <v>0</v>
      </c>
      <c r="H46" s="461"/>
      <c r="I46" s="305"/>
      <c r="J46" s="305"/>
      <c r="K46" s="249" t="s">
        <v>218</v>
      </c>
      <c r="L46">
        <v>4000</v>
      </c>
    </row>
    <row r="47" spans="1:15" x14ac:dyDescent="0.25">
      <c r="A47" s="305"/>
      <c r="B47" s="194" t="s">
        <v>350</v>
      </c>
      <c r="C47" s="450">
        <f>0.03*C43</f>
        <v>0</v>
      </c>
      <c r="D47" s="451"/>
      <c r="E47" s="450">
        <f t="shared" ref="E47" si="3">0.03*E43</f>
        <v>0</v>
      </c>
      <c r="F47" s="451"/>
      <c r="G47" s="452">
        <f>SUM(C47:F47)</f>
        <v>0</v>
      </c>
      <c r="H47" s="453"/>
      <c r="I47" s="305"/>
      <c r="J47" s="305"/>
      <c r="K47" s="249" t="s">
        <v>200</v>
      </c>
      <c r="L47">
        <v>4000</v>
      </c>
    </row>
    <row r="48" spans="1:15" ht="15.75" thickBot="1" x14ac:dyDescent="0.3">
      <c r="A48" s="305"/>
      <c r="B48" s="198"/>
      <c r="C48" s="199"/>
      <c r="D48" s="199"/>
      <c r="E48" s="199"/>
      <c r="F48" s="199"/>
      <c r="G48" s="199"/>
      <c r="H48" s="200"/>
      <c r="I48" s="305"/>
      <c r="J48" s="305"/>
      <c r="K48" s="249" t="s">
        <v>201</v>
      </c>
      <c r="L48">
        <v>4000</v>
      </c>
    </row>
    <row r="49" spans="1:15" ht="15.75" thickTop="1" x14ac:dyDescent="0.25">
      <c r="A49" s="305"/>
      <c r="B49" s="187" t="s">
        <v>88</v>
      </c>
      <c r="C49" s="446">
        <f>C43+C45</f>
        <v>0</v>
      </c>
      <c r="D49" s="447"/>
      <c r="E49" s="446">
        <f>E43+E45</f>
        <v>0</v>
      </c>
      <c r="F49" s="447"/>
      <c r="G49" s="454">
        <f>G43+G45</f>
        <v>0</v>
      </c>
      <c r="H49" s="455"/>
      <c r="I49" s="305"/>
      <c r="J49" s="305"/>
      <c r="K49" s="249" t="s">
        <v>202</v>
      </c>
      <c r="L49">
        <v>1800</v>
      </c>
    </row>
    <row r="50" spans="1:15" x14ac:dyDescent="0.25">
      <c r="A50" s="305"/>
      <c r="B50" s="195"/>
      <c r="C50" s="196"/>
      <c r="D50" s="196"/>
      <c r="E50" s="196"/>
      <c r="F50" s="196"/>
      <c r="G50" s="196"/>
      <c r="H50" s="197"/>
      <c r="I50" s="305"/>
      <c r="J50" s="305"/>
      <c r="K50" s="249" t="s">
        <v>203</v>
      </c>
      <c r="L50">
        <v>850</v>
      </c>
      <c r="M50">
        <v>1800</v>
      </c>
    </row>
    <row r="51" spans="1:15" x14ac:dyDescent="0.25">
      <c r="A51" s="305"/>
      <c r="B51" s="208" t="str">
        <f>"Montant en nature pris en compte (max : "&amp;IF(TRL="2-3","0% du coût total admissible du projet = ","20 % du coût total admissible du projet = ")&amp;IF(TRL="2-3",0,G49*25%)&amp;" $)"</f>
        <v>Montant en nature pris en compte (max : 20 % du coût total admissible du projet = 0 $)</v>
      </c>
      <c r="C51" s="209"/>
      <c r="D51" s="209"/>
      <c r="E51" s="209"/>
      <c r="F51" s="209"/>
      <c r="G51" s="462">
        <f>'Budget de projet'!G51</f>
        <v>0</v>
      </c>
      <c r="H51" s="463"/>
      <c r="I51" s="305"/>
      <c r="J51" s="305"/>
      <c r="K51" s="249" t="s">
        <v>217</v>
      </c>
      <c r="L51">
        <v>850</v>
      </c>
      <c r="M51">
        <v>1800</v>
      </c>
    </row>
    <row r="52" spans="1:15" ht="15.75" thickBot="1" x14ac:dyDescent="0.3">
      <c r="A52" s="305"/>
      <c r="B52" s="201"/>
      <c r="C52" s="464"/>
      <c r="D52" s="464"/>
      <c r="E52" s="202"/>
      <c r="F52" s="202"/>
      <c r="G52" s="203"/>
      <c r="H52" s="204"/>
      <c r="I52" s="305"/>
      <c r="J52" s="305"/>
      <c r="K52" s="249" t="s">
        <v>204</v>
      </c>
      <c r="L52">
        <v>850</v>
      </c>
    </row>
    <row r="53" spans="1:15" ht="16.5" thickTop="1" thickBot="1" x14ac:dyDescent="0.3">
      <c r="A53" s="305"/>
      <c r="B53" s="205" t="s">
        <v>89</v>
      </c>
      <c r="C53" s="206"/>
      <c r="D53" s="206"/>
      <c r="E53" s="207"/>
      <c r="F53" s="207"/>
      <c r="G53" s="465">
        <f>G49+G51</f>
        <v>0</v>
      </c>
      <c r="H53" s="466"/>
      <c r="I53" s="305"/>
      <c r="J53" s="305"/>
      <c r="K53" s="249" t="s">
        <v>205</v>
      </c>
      <c r="L53">
        <v>850</v>
      </c>
    </row>
    <row r="54" spans="1:15" ht="15.75" thickBot="1" x14ac:dyDescent="0.3">
      <c r="A54" s="305"/>
      <c r="B54" s="305"/>
      <c r="C54" s="305"/>
      <c r="D54" s="305"/>
      <c r="E54" s="305"/>
      <c r="F54" s="305"/>
      <c r="G54" s="305"/>
      <c r="H54" s="305"/>
      <c r="I54" s="305"/>
      <c r="J54" s="305"/>
      <c r="K54" s="249" t="s">
        <v>206</v>
      </c>
      <c r="L54">
        <v>5000</v>
      </c>
    </row>
    <row r="55" spans="1:15" ht="14.45" customHeight="1" thickBot="1" x14ac:dyDescent="0.3">
      <c r="A55" s="305"/>
      <c r="B55" s="467" t="s">
        <v>195</v>
      </c>
      <c r="C55" s="429"/>
      <c r="D55" s="429"/>
      <c r="E55" s="429"/>
      <c r="F55" s="429"/>
      <c r="G55" s="429"/>
      <c r="H55" s="429"/>
      <c r="I55" s="429"/>
      <c r="J55" s="430"/>
      <c r="K55" s="249" t="s">
        <v>207</v>
      </c>
      <c r="L55">
        <v>5000</v>
      </c>
    </row>
    <row r="56" spans="1:15" ht="15" customHeight="1" x14ac:dyDescent="0.25">
      <c r="A56" s="305"/>
      <c r="B56" s="468"/>
      <c r="C56" s="469" t="s">
        <v>95</v>
      </c>
      <c r="D56" s="470"/>
      <c r="E56" s="470"/>
      <c r="F56" s="471"/>
      <c r="G56" s="472" t="s">
        <v>98</v>
      </c>
      <c r="H56" s="473"/>
      <c r="I56" s="474" t="s">
        <v>109</v>
      </c>
      <c r="J56" s="477" t="s">
        <v>59</v>
      </c>
      <c r="K56" s="249" t="s">
        <v>208</v>
      </c>
      <c r="L56">
        <v>5000</v>
      </c>
    </row>
    <row r="57" spans="1:15" ht="14.45" customHeight="1" x14ac:dyDescent="0.25">
      <c r="A57" s="305"/>
      <c r="B57" s="468"/>
      <c r="C57" s="479" t="s">
        <v>351</v>
      </c>
      <c r="D57" s="480"/>
      <c r="E57" s="486" t="s">
        <v>97</v>
      </c>
      <c r="F57" s="480"/>
      <c r="G57" s="472"/>
      <c r="H57" s="473"/>
      <c r="I57" s="475"/>
      <c r="J57" s="478"/>
      <c r="K57" s="151"/>
    </row>
    <row r="58" spans="1:15" ht="15.75" thickBot="1" x14ac:dyDescent="0.3">
      <c r="A58" s="305"/>
      <c r="B58" s="173"/>
      <c r="C58" s="212" t="s">
        <v>103</v>
      </c>
      <c r="D58" s="212" t="s">
        <v>104</v>
      </c>
      <c r="E58" s="213" t="s">
        <v>103</v>
      </c>
      <c r="F58" s="212" t="s">
        <v>104</v>
      </c>
      <c r="G58" s="487" t="s">
        <v>99</v>
      </c>
      <c r="H58" s="488"/>
      <c r="I58" s="476"/>
      <c r="J58" s="215" t="s">
        <v>100</v>
      </c>
      <c r="K58" s="151"/>
    </row>
    <row r="59" spans="1:15" ht="19.899999999999999" customHeight="1" thickBot="1" x14ac:dyDescent="0.3">
      <c r="A59" s="305"/>
      <c r="B59" s="216" t="s">
        <v>101</v>
      </c>
      <c r="C59" s="217" t="e">
        <f>IF(TRL="2-3",IF(TransMedTech="Sans / Without TransMedTech",'TRL1-3'!C18,'iTMT TRL1-3'!C19),IF(TransMedTech="Sans TransMedTech",'TRL4-6'!C19,'iTMT TRL4-6'!C20))</f>
        <v>#DIV/0!</v>
      </c>
      <c r="D59" s="218" t="e">
        <f>C59/G53</f>
        <v>#DIV/0!</v>
      </c>
      <c r="E59" s="219">
        <f>IF(TRL="2-3",0,G51)</f>
        <v>0</v>
      </c>
      <c r="F59" s="220" t="e">
        <f>E59/G53</f>
        <v>#DIV/0!</v>
      </c>
      <c r="G59" s="489">
        <f>LOOKUP(Etablissement,Feuil1!D42:D64,Feuil1!E42:E64)</f>
        <v>0.27</v>
      </c>
      <c r="H59" s="490"/>
      <c r="I59" s="222"/>
      <c r="J59" s="223"/>
      <c r="K59" s="124" t="s">
        <v>60</v>
      </c>
      <c r="L59" s="125" t="s">
        <v>55</v>
      </c>
      <c r="M59" s="125" t="s">
        <v>61</v>
      </c>
      <c r="N59" s="127" t="s">
        <v>58</v>
      </c>
      <c r="O59" s="126" t="s">
        <v>112</v>
      </c>
    </row>
    <row r="60" spans="1:15" x14ac:dyDescent="0.25">
      <c r="A60" s="305"/>
      <c r="B60" s="250">
        <f>IF(E22="","",E22)</f>
        <v>0</v>
      </c>
      <c r="C60" s="152">
        <f>'Budget de projet'!C60</f>
        <v>0</v>
      </c>
      <c r="D60" s="229" t="e">
        <f>C60/$G$53</f>
        <v>#DIV/0!</v>
      </c>
      <c r="E60" s="153">
        <f>'Budget de projet'!E60</f>
        <v>0</v>
      </c>
      <c r="F60" s="231" t="e">
        <f>E60/$G$53</f>
        <v>#DIV/0!</v>
      </c>
      <c r="G60" s="481">
        <f>C60*G$59</f>
        <v>0</v>
      </c>
      <c r="H60" s="481"/>
      <c r="I60" s="304">
        <f>IF(H22="Oui",0,
IF(AND(G22="Membre industriel",I22="Moins de deux ans d'activité"),350,0)+
IF(AND(G22="Membre industriel",I22="Moins de 5 M$"),850,0)+
IF(AND(G22="Membre industriel",I22="De 5 M$ à 10 M$"),1800,0)+
IF(AND(G22="Membre industriel",I22="De 10 M$ à 50 M$"),1800,0)+
IF(AND(G22="Membre industriel",I22="Plus de 50 M$"),4000,0)+
IF(AND(G22="Société de consultation",I22="Moins de deux ans d'activité"),4000,0)+
IF(AND(G22="Société de consultation",I22="Moins de 5 M$"),4000,0)+
IF(AND(G22="Société de consultation",I22="De 5 M$ à 10 M$"),4000,0)+
IF(AND(G22="Société de consultation",I22="De 10 M$ à 50 M$"),7500,0)+
IF(AND(G22="Société de consultation",I22="Plus de 50 M$"),7500,0)+
IF(G22="Université",4000,0)+
IF(G22="CCTT",1800,0)+
IF(G22="Centre de recherche", 4000,0)+
IF(G22="CHU",4000,0)+
IF(G22="CIUSSS",4000,0)+
IF(G22="CCTT",4000,0)+
IF(G22="Institut",4000,0)+
IF(G22="CISSS",1800,0)+
IF(AND(G22="Organisation caritative",I22="Moins de deux ans d'activité"),850,0)+
IF(AND(G22="Organisation caritative",I22="Moins de 5 M$"),850,0)+
IF(AND(G22="Organisation caritative",I22="De 5 M$ à 10 M$"),1800,0)+
IF(AND(G22="Organisation caritative",I22="De 10 M$ à 50 M$"),1800,0)+
IF(AND(G22="Organisation caritative",I22="Plus de 50 M$"),1800,0)+
IF(AND(G22="Fondation",I22="Moins de deux ans d'activité"),850,0)+
IF(AND(G22="Fondation",I22="Moins de 5 M$"),850,0)+
IF(AND(G22="Fondation",I22="De 5 M$ à 10 M$"),1800,0)+
IF(AND(G22="Fondation",I22="De 10 M$ à 50 M$"),1800,0)+
IF(AND(G22="Fondation",I22="Plus de 50 M$"),1800,0)+
IF(G22="Groupe d'intérêt",850,0)+
IF(G22="Fédération",850,0)+
IF(G22="Incubateur / accélérateur",5000,0)+
IF(G22="Société de valorisation",5000,0)+
IF(G22="Organisme international",5000,0))</f>
        <v>0</v>
      </c>
      <c r="J60" s="233">
        <f>C60+G60+I60</f>
        <v>0</v>
      </c>
      <c r="K60" s="122" t="s">
        <v>62</v>
      </c>
      <c r="L60" s="123" t="s">
        <v>64</v>
      </c>
      <c r="M60" s="123" t="s">
        <v>67</v>
      </c>
      <c r="N60" s="128" t="s">
        <v>107</v>
      </c>
      <c r="O60" s="131" t="s">
        <v>113</v>
      </c>
    </row>
    <row r="61" spans="1:15" x14ac:dyDescent="0.25">
      <c r="A61" s="305"/>
      <c r="B61" s="250">
        <f>IF(E23="","",E23)</f>
        <v>0</v>
      </c>
      <c r="C61" s="152">
        <f>'Budget de projet'!C61</f>
        <v>0</v>
      </c>
      <c r="D61" s="230" t="e">
        <f>C61/$G$53</f>
        <v>#DIV/0!</v>
      </c>
      <c r="E61" s="153">
        <f>'Budget de projet'!E61</f>
        <v>0</v>
      </c>
      <c r="F61" s="232" t="e">
        <f>E61/$G$53</f>
        <v>#DIV/0!</v>
      </c>
      <c r="G61" s="481">
        <f t="shared" ref="G61:G63" si="4">C61*G$59</f>
        <v>0</v>
      </c>
      <c r="H61" s="481"/>
      <c r="I61" s="304">
        <f>IF(H23="Oui",0,
IF(I23="Moins de deux ans d'activité",350,
IF(I23="Moins de 5 M$", 850,
IF(I23="De 5 M$ à 50 M$", 1800,
IF(I23="Plus de 50 M$",4000,0)))))</f>
        <v>0</v>
      </c>
      <c r="J61" s="233">
        <f>C61+G61+I61</f>
        <v>0</v>
      </c>
      <c r="K61" s="121" t="s">
        <v>63</v>
      </c>
      <c r="L61" s="1" t="s">
        <v>65</v>
      </c>
      <c r="M61" s="1" t="s">
        <v>68</v>
      </c>
      <c r="N61" s="129" t="s">
        <v>108</v>
      </c>
      <c r="O61" s="130" t="s">
        <v>115</v>
      </c>
    </row>
    <row r="62" spans="1:15" x14ac:dyDescent="0.25">
      <c r="A62" s="305"/>
      <c r="B62" s="250">
        <f>IF(E24="","",E24)</f>
        <v>0</v>
      </c>
      <c r="C62" s="152">
        <f>'Budget de projet'!C62</f>
        <v>0</v>
      </c>
      <c r="D62" s="230" t="e">
        <f>C62/$G$53</f>
        <v>#DIV/0!</v>
      </c>
      <c r="E62" s="153">
        <f>'Budget de projet'!E62</f>
        <v>0</v>
      </c>
      <c r="F62" s="232" t="e">
        <f>E62/$G$53</f>
        <v>#DIV/0!</v>
      </c>
      <c r="G62" s="481">
        <f t="shared" si="4"/>
        <v>0</v>
      </c>
      <c r="H62" s="481"/>
      <c r="I62" s="304">
        <f>IF(H24="Oui",0,
IF(I24="Moins de deux ans d'activité",350,
IF(I24="Moins de 5 M$", 850,
IF(I24="De 5 M$ à 50 M$", 1800,
IF(I24="Plus de 50 M$",4000,0)))))</f>
        <v>0</v>
      </c>
      <c r="J62" s="233">
        <f>C62+G62+I62</f>
        <v>0</v>
      </c>
      <c r="K62" s="1" t="s">
        <v>91</v>
      </c>
      <c r="L62" s="1" t="s">
        <v>91</v>
      </c>
      <c r="M62" s="1" t="s">
        <v>91</v>
      </c>
      <c r="N62" s="129" t="s">
        <v>91</v>
      </c>
      <c r="O62" s="130" t="s">
        <v>219</v>
      </c>
    </row>
    <row r="63" spans="1:15" ht="15.75" thickBot="1" x14ac:dyDescent="0.3">
      <c r="A63" s="305"/>
      <c r="B63" s="250">
        <f>IF(E25="","",E25)</f>
        <v>0</v>
      </c>
      <c r="C63" s="152">
        <f>'Budget de projet'!C63</f>
        <v>0</v>
      </c>
      <c r="D63" s="230" t="e">
        <f>C63/$G$53</f>
        <v>#DIV/0!</v>
      </c>
      <c r="E63" s="153">
        <f>'Budget de projet'!E63</f>
        <v>0</v>
      </c>
      <c r="F63" s="232" t="e">
        <f>E63/$G$53</f>
        <v>#DIV/0!</v>
      </c>
      <c r="G63" s="481">
        <f t="shared" si="4"/>
        <v>0</v>
      </c>
      <c r="H63" s="481"/>
      <c r="I63" s="304">
        <f>IF(H25="Oui",0,
IF(I25="Moins de deux ans d'activité",350,
IF(I25="Moins de 5 M$", 850,
IF(I25="De 5 M$ à 50 M$", 1800,
IF(I25="Plus de 50 M$",4000,0)))))</f>
        <v>0</v>
      </c>
      <c r="J63" s="262">
        <f>C63+G63+I63</f>
        <v>0</v>
      </c>
      <c r="K63" s="146"/>
      <c r="L63" s="146"/>
      <c r="M63" s="146"/>
      <c r="N63" s="146"/>
      <c r="O63" s="130" t="s">
        <v>220</v>
      </c>
    </row>
    <row r="64" spans="1:15" ht="16.5" thickTop="1" thickBot="1" x14ac:dyDescent="0.3">
      <c r="A64" s="305"/>
      <c r="B64" s="251" t="s">
        <v>102</v>
      </c>
      <c r="C64" s="156" t="e">
        <f>ROUND(C59,0)-ROUND(SUM(C60:C63),0)</f>
        <v>#DIV/0!</v>
      </c>
      <c r="D64" s="350" t="e">
        <f>ROUND(D59,2)-ROUND(SUM(D60:D63),2)</f>
        <v>#DIV/0!</v>
      </c>
      <c r="E64" s="156">
        <f t="shared" ref="E64" si="5">ROUND(E59,0)-ROUND(SUM(E60:E63),0)</f>
        <v>0</v>
      </c>
      <c r="F64" s="234" t="e">
        <f>ROUND(F59,2)-ROUND(SUM(F60:F63),2)</f>
        <v>#DIV/0!</v>
      </c>
      <c r="G64" s="268"/>
      <c r="H64" s="268"/>
      <c r="I64" s="268"/>
      <c r="J64" s="310"/>
      <c r="O64" s="130" t="s">
        <v>114</v>
      </c>
    </row>
    <row r="65" spans="1:15" ht="15.75" thickBot="1" x14ac:dyDescent="0.3">
      <c r="A65" s="305"/>
      <c r="B65" s="263"/>
      <c r="C65" s="482" t="e">
        <f>IF(AND(C64&gt;0,E64&gt;0),"CONTRIBUTION EN ESPÈCE ET EN NATURE INSUFFISANTE",IF(C64&gt;0,"CONTRIBUTION EN ESPÈCE INSUFFISANTE",IF(E64&gt;0,"CONTRIBUTION EN NATURE INSUFFISANTE","OK")))</f>
        <v>#DIV/0!</v>
      </c>
      <c r="D65" s="483"/>
      <c r="E65" s="483"/>
      <c r="F65" s="484"/>
      <c r="G65" s="269"/>
      <c r="H65" s="269"/>
      <c r="I65" s="269"/>
      <c r="J65" s="311"/>
      <c r="O65" s="129" t="s">
        <v>91</v>
      </c>
    </row>
    <row r="66" spans="1:15" x14ac:dyDescent="0.25">
      <c r="A66" s="305"/>
      <c r="B66" s="264"/>
      <c r="C66" s="267"/>
      <c r="D66" s="267"/>
      <c r="E66" s="267"/>
      <c r="F66" s="267"/>
      <c r="G66" s="270"/>
      <c r="H66" s="270"/>
      <c r="I66" s="270"/>
      <c r="J66" s="312"/>
      <c r="K66" s="151"/>
    </row>
    <row r="67" spans="1:15" ht="15" customHeight="1" x14ac:dyDescent="0.25">
      <c r="A67" s="305"/>
      <c r="B67" s="265"/>
      <c r="C67" s="485" t="s">
        <v>95</v>
      </c>
      <c r="D67" s="485"/>
      <c r="E67" s="485"/>
      <c r="F67" s="485"/>
      <c r="G67" s="271"/>
      <c r="H67" s="272"/>
      <c r="I67" s="268"/>
      <c r="J67" s="312"/>
      <c r="K67" s="151"/>
    </row>
    <row r="68" spans="1:15" ht="14.45" customHeight="1" x14ac:dyDescent="0.25">
      <c r="A68" s="305"/>
      <c r="B68" s="265"/>
      <c r="C68" s="479" t="s">
        <v>96</v>
      </c>
      <c r="D68" s="480"/>
      <c r="E68" s="479" t="s">
        <v>97</v>
      </c>
      <c r="F68" s="480"/>
      <c r="G68" s="472" t="s">
        <v>139</v>
      </c>
      <c r="H68" s="473"/>
      <c r="I68" s="258" t="s">
        <v>59</v>
      </c>
      <c r="J68" s="312"/>
      <c r="K68" s="151"/>
    </row>
    <row r="69" spans="1:15" x14ac:dyDescent="0.25">
      <c r="A69" s="305"/>
      <c r="B69" s="266"/>
      <c r="C69" s="224" t="str">
        <f>IF(TRL="2-3",IF(TransMedTech="Sans TransMedTech",'TRL1-3'!C52,'iTMT TRL1-3'!C52),IF(TransMedTech="Sans TransMedTech",'TRL4-6'!C54,'iTMT TRL4-6'!C53))</f>
        <v>$$$</v>
      </c>
      <c r="D69" s="224" t="str">
        <f>IF(TRL="2-3",IF(TransMedTech="Sans TransMedTech",'TRL1-3'!D52,'iTMT TRL1-3'!D52),IF(TransMedTech="Sans TransMedTech",'TRL4-6'!D54,'iTMT TRL4-6'!D53))</f>
        <v>%</v>
      </c>
      <c r="E69" s="224" t="str">
        <f>IF(TRL="2-3",IF(TransMedTech="Sans TransMedTech",'TRL1-3'!E52,'iTMT TRL1-3'!E52),IF(TransMedTech="Sans TransMedTech",'TRL4-6'!E54,'iTMT TRL4-6'!E53))</f>
        <v>$$$</v>
      </c>
      <c r="F69" s="224" t="str">
        <f>IF(TRL="2-3",IF(TransMedTech="Sans TransMedTech",'TRL1-3'!F52,'iTMT TRL1-3'!F52),IF(TransMedTech="Sans TransMedTech",'TRL4-6'!F54,'iTMT TRL4-6'!F53))</f>
        <v>%</v>
      </c>
      <c r="G69" s="504">
        <f>LOOKUP(Etablissement,Feuil1!D42:D64,Feuil1!E42:E64)</f>
        <v>0.27</v>
      </c>
      <c r="H69" s="505"/>
      <c r="I69" s="259"/>
      <c r="J69" s="312"/>
      <c r="K69" s="151"/>
    </row>
    <row r="70" spans="1:15" x14ac:dyDescent="0.25">
      <c r="A70" s="305"/>
      <c r="B70" s="252" t="s">
        <v>1</v>
      </c>
      <c r="C70" s="225" t="e">
        <f>IF(TRL="2-3",IF(TransMedTech="Sans / Without TransMedTech",'TRL1-3'!C16,'iTMT TRL1-3'!C16),IF(TransMedTech="Sans TransMedTech",'TRL4-6'!C17,'iTMT TRL4-6'!C17))</f>
        <v>#DIV/0!</v>
      </c>
      <c r="D70" s="226" t="e">
        <f>C70/G53</f>
        <v>#DIV/0!</v>
      </c>
      <c r="E70" s="227" t="s">
        <v>92</v>
      </c>
      <c r="F70" s="228" t="s">
        <v>92</v>
      </c>
      <c r="G70" s="506" t="s">
        <v>92</v>
      </c>
      <c r="H70" s="507"/>
      <c r="I70" s="260" t="e">
        <f>SUM(C70,E70,G70)</f>
        <v>#DIV/0!</v>
      </c>
      <c r="J70" s="312"/>
      <c r="K70" s="151"/>
    </row>
    <row r="71" spans="1:15" x14ac:dyDescent="0.25">
      <c r="A71" s="305"/>
      <c r="B71" s="252" t="s">
        <v>2</v>
      </c>
      <c r="C71" s="225" t="e">
        <f>IF(TRL="2-3",IF(TransMedTech="Sans / Without TransMedTech",'TRL1-3'!C17,'iTMT TRL1-3'!C17),IF(TransMedTech="Sans TransMedTech",'TRL4-6'!C18,'iTMT TRL4-6'!C18))</f>
        <v>#DIV/0!</v>
      </c>
      <c r="D71" s="226" t="e">
        <f>C71/G53</f>
        <v>#DIV/0!</v>
      </c>
      <c r="E71" s="227" t="s">
        <v>92</v>
      </c>
      <c r="F71" s="228" t="s">
        <v>92</v>
      </c>
      <c r="G71" s="506" t="s">
        <v>92</v>
      </c>
      <c r="H71" s="507"/>
      <c r="I71" s="260" t="e">
        <f>SUM(C71,E71,G71)</f>
        <v>#DIV/0!</v>
      </c>
      <c r="J71" s="312"/>
      <c r="K71" s="151"/>
    </row>
    <row r="72" spans="1:15" x14ac:dyDescent="0.25">
      <c r="A72" s="305"/>
      <c r="B72" s="252" t="s">
        <v>41</v>
      </c>
      <c r="C72" s="225">
        <f>IF(TRL="2-3",IF(TransMedTech="Sans / Without TransMedTech",'TRL1-3'!C15,'iTMT TRL1-3'!C15),IF(TransMedTech="Sans TransMedTech",'TRL4-6'!C16,'iTMT TRL4-6'!C16))</f>
        <v>0</v>
      </c>
      <c r="D72" s="226" t="e">
        <f>C72/G53</f>
        <v>#DIV/0!</v>
      </c>
      <c r="E72" s="227" t="s">
        <v>92</v>
      </c>
      <c r="F72" s="228" t="s">
        <v>92</v>
      </c>
      <c r="G72" s="508" t="e">
        <f>SUM(G30,G31,G34,G35,G39)*D72*G69</f>
        <v>#DIV/0!</v>
      </c>
      <c r="H72" s="509"/>
      <c r="I72" s="260" t="e">
        <f>SUM(C72,E72,G72)</f>
        <v>#DIV/0!</v>
      </c>
      <c r="J72" s="312"/>
      <c r="K72" s="151"/>
    </row>
    <row r="73" spans="1:15" x14ac:dyDescent="0.25">
      <c r="A73" s="305"/>
      <c r="B73" s="252" t="str">
        <f>IF(TransMedTech="Sans / Without TransMedTech","","Institut TransMedTech")</f>
        <v>Institut TransMedTech</v>
      </c>
      <c r="C73" s="225">
        <f>IF(TRL="2-3",IF(TransMedTech="Sans / Without TransMedTech","",'iTMT TRL1-3'!C18),IF(TransMedTech="Sans / Without TransMedTech","",'iTMT TRL4-6'!C19))</f>
        <v>0</v>
      </c>
      <c r="D73" s="226" t="e">
        <f>IF(TransMedTech="Sans / Without TransMedTech","",C73/G53)</f>
        <v>#DIV/0!</v>
      </c>
      <c r="E73" s="227" t="str">
        <f>IF(TransMedTech="Sans / Without TransMedTech","","N/A")</f>
        <v>N/A</v>
      </c>
      <c r="F73" s="235" t="str">
        <f>IF(TransMedTech="Sans / Without TransMedTech","","N/A")</f>
        <v>N/A</v>
      </c>
      <c r="G73" s="506" t="str">
        <f>IF(TransMedTech="Sans / Without TransMedTech","","N/A")</f>
        <v>N/A</v>
      </c>
      <c r="H73" s="507"/>
      <c r="I73" s="260">
        <f>IF(TransMedTech="Sans / Without TransMedTech","",SUM(C73,E73,G73))</f>
        <v>0</v>
      </c>
      <c r="J73" s="312"/>
      <c r="K73" s="151"/>
    </row>
    <row r="74" spans="1:15" ht="15.75" thickBot="1" x14ac:dyDescent="0.3">
      <c r="A74" s="305"/>
      <c r="B74" s="253" t="s">
        <v>352</v>
      </c>
      <c r="C74" s="254" t="e">
        <f>SUM(C70:C73)</f>
        <v>#DIV/0!</v>
      </c>
      <c r="D74" s="255" t="e">
        <f>SUM(D70:D73)</f>
        <v>#DIV/0!</v>
      </c>
      <c r="E74" s="256">
        <f>SUM(E70:E72)</f>
        <v>0</v>
      </c>
      <c r="F74" s="257">
        <v>0</v>
      </c>
      <c r="G74" s="510" t="s">
        <v>92</v>
      </c>
      <c r="H74" s="511"/>
      <c r="I74" s="261" t="e">
        <f>SUM(I70:I72)</f>
        <v>#DIV/0!</v>
      </c>
      <c r="J74" s="312"/>
      <c r="K74" s="151"/>
    </row>
    <row r="75" spans="1:15" x14ac:dyDescent="0.25">
      <c r="A75" s="305"/>
      <c r="B75" s="305"/>
      <c r="C75" s="305"/>
      <c r="D75" s="305"/>
      <c r="E75" s="305"/>
      <c r="F75" s="305"/>
      <c r="G75" s="305"/>
      <c r="H75" s="305"/>
      <c r="I75" s="305"/>
      <c r="J75" s="305"/>
      <c r="K75" s="151"/>
    </row>
    <row r="76" spans="1:15" ht="15.75" thickBot="1" x14ac:dyDescent="0.3">
      <c r="A76" s="305"/>
      <c r="B76" s="305"/>
      <c r="C76" s="305"/>
      <c r="D76" s="305"/>
      <c r="E76" s="305"/>
      <c r="F76" s="305"/>
      <c r="G76" s="305"/>
      <c r="H76" s="305"/>
      <c r="I76" s="305"/>
      <c r="J76" s="305"/>
    </row>
    <row r="77" spans="1:15" ht="14.45" customHeight="1" x14ac:dyDescent="0.25">
      <c r="A77" s="305"/>
      <c r="B77" s="491" t="s">
        <v>338</v>
      </c>
      <c r="C77" s="492"/>
      <c r="D77" s="492"/>
      <c r="E77" s="492"/>
      <c r="F77" s="492"/>
      <c r="G77" s="492"/>
      <c r="H77" s="493"/>
      <c r="I77" s="305"/>
      <c r="J77" s="305"/>
    </row>
    <row r="78" spans="1:15" ht="15" customHeight="1" thickBot="1" x14ac:dyDescent="0.3">
      <c r="A78" s="305"/>
      <c r="B78" s="494"/>
      <c r="C78" s="495"/>
      <c r="D78" s="495"/>
      <c r="E78" s="495"/>
      <c r="F78" s="495"/>
      <c r="G78" s="495"/>
      <c r="H78" s="496"/>
      <c r="I78" s="305"/>
      <c r="J78" s="305"/>
    </row>
    <row r="79" spans="1:15" ht="15.75" thickBot="1" x14ac:dyDescent="0.3">
      <c r="A79" s="305"/>
      <c r="B79" s="305"/>
      <c r="C79" s="305"/>
      <c r="D79" s="305"/>
      <c r="E79" s="305"/>
      <c r="F79" s="305"/>
      <c r="G79" s="305"/>
      <c r="H79" s="305"/>
      <c r="I79" s="305"/>
      <c r="J79" s="305"/>
    </row>
    <row r="80" spans="1:15" ht="16.5" thickBot="1" x14ac:dyDescent="0.3">
      <c r="A80" s="305"/>
      <c r="B80" s="497" t="s">
        <v>353</v>
      </c>
      <c r="C80" s="498"/>
      <c r="D80" s="498"/>
      <c r="E80" s="498"/>
      <c r="F80" s="498"/>
      <c r="G80" s="498"/>
      <c r="H80" s="499"/>
      <c r="I80" s="305"/>
      <c r="J80" s="305"/>
    </row>
    <row r="81" spans="1:10" ht="20.25" customHeight="1" x14ac:dyDescent="0.25">
      <c r="A81" s="305"/>
      <c r="B81" s="286" t="s">
        <v>209</v>
      </c>
      <c r="C81" s="500">
        <f>C24</f>
        <v>0</v>
      </c>
      <c r="D81" s="501"/>
      <c r="E81" s="149"/>
      <c r="F81" s="149"/>
      <c r="G81" s="149"/>
      <c r="H81" s="150"/>
      <c r="I81" s="305"/>
      <c r="J81" s="305"/>
    </row>
    <row r="82" spans="1:10" ht="18" customHeight="1" x14ac:dyDescent="0.25">
      <c r="A82" s="305"/>
      <c r="B82" s="285" t="s">
        <v>210</v>
      </c>
      <c r="C82" s="502">
        <f>IF(C25="","",C25)</f>
        <v>0</v>
      </c>
      <c r="D82" s="503"/>
      <c r="E82" s="149"/>
      <c r="F82" s="149"/>
      <c r="G82" s="149"/>
      <c r="H82" s="150"/>
      <c r="I82" s="305"/>
      <c r="J82" s="305"/>
    </row>
    <row r="83" spans="1:10" ht="19.5" customHeight="1" x14ac:dyDescent="0.25">
      <c r="A83" s="305"/>
      <c r="B83" s="285" t="s">
        <v>211</v>
      </c>
      <c r="C83" s="502" t="str">
        <f>Etablissement</f>
        <v>Sélectionnez / Select</v>
      </c>
      <c r="D83" s="503"/>
      <c r="E83" s="149"/>
      <c r="F83" s="149"/>
      <c r="G83" s="149"/>
      <c r="H83" s="150"/>
      <c r="I83" s="305"/>
      <c r="J83" s="305"/>
    </row>
    <row r="84" spans="1:10" ht="20.25" customHeight="1" x14ac:dyDescent="0.25">
      <c r="A84" s="305"/>
      <c r="B84" s="285" t="s">
        <v>212</v>
      </c>
      <c r="C84" s="502" t="e">
        <f>IF(#REF!="Sélectionnez","",#REF!)</f>
        <v>#REF!</v>
      </c>
      <c r="D84" s="503"/>
      <c r="E84" s="149"/>
      <c r="F84" s="149"/>
      <c r="G84" s="149"/>
      <c r="H84" s="150"/>
      <c r="I84" s="305"/>
      <c r="J84" s="305"/>
    </row>
    <row r="85" spans="1:10" ht="20.25" customHeight="1" x14ac:dyDescent="0.25">
      <c r="A85" s="305"/>
      <c r="B85" s="366" t="s">
        <v>196</v>
      </c>
      <c r="C85" s="502" t="str">
        <f>IF(TRL="Sélectionnez","",TRL)</f>
        <v>Sélectionnez / Select</v>
      </c>
      <c r="D85" s="503"/>
      <c r="E85" s="149"/>
      <c r="F85" s="149"/>
      <c r="G85" s="149"/>
      <c r="H85" s="150"/>
      <c r="I85" s="305"/>
      <c r="J85" s="305"/>
    </row>
    <row r="86" spans="1:10" ht="33.75" customHeight="1" thickBot="1" x14ac:dyDescent="0.3">
      <c r="A86" s="305"/>
      <c r="B86" s="364" t="s">
        <v>341</v>
      </c>
      <c r="C86" s="516">
        <f>G53</f>
        <v>0</v>
      </c>
      <c r="D86" s="517"/>
      <c r="E86" s="149"/>
      <c r="F86" s="149"/>
      <c r="G86" s="149"/>
      <c r="H86" s="150"/>
      <c r="I86" s="305"/>
      <c r="J86" s="305"/>
    </row>
    <row r="87" spans="1:10" x14ac:dyDescent="0.25">
      <c r="A87" s="305"/>
      <c r="B87" s="518" t="s">
        <v>354</v>
      </c>
      <c r="C87" s="521" t="str">
        <f>"- "&amp;B60</f>
        <v>- 0</v>
      </c>
      <c r="D87" s="522"/>
      <c r="E87" s="149"/>
      <c r="F87" s="149"/>
      <c r="G87" s="149"/>
      <c r="H87" s="150"/>
      <c r="I87" s="305"/>
      <c r="J87" s="305"/>
    </row>
    <row r="88" spans="1:10" x14ac:dyDescent="0.25">
      <c r="A88" s="305"/>
      <c r="B88" s="519"/>
      <c r="C88" s="523" t="str">
        <f t="shared" ref="C88:C90" si="6">"- "&amp;B61</f>
        <v>- 0</v>
      </c>
      <c r="D88" s="524"/>
      <c r="E88" s="149"/>
      <c r="F88" s="149"/>
      <c r="G88" s="149"/>
      <c r="H88" s="150"/>
      <c r="I88" s="305"/>
      <c r="J88" s="305"/>
    </row>
    <row r="89" spans="1:10" x14ac:dyDescent="0.25">
      <c r="A89" s="305"/>
      <c r="B89" s="519"/>
      <c r="C89" s="523" t="str">
        <f t="shared" si="6"/>
        <v>- 0</v>
      </c>
      <c r="D89" s="524"/>
      <c r="E89" s="149"/>
      <c r="F89" s="149"/>
      <c r="G89" s="149"/>
      <c r="H89" s="150"/>
      <c r="I89" s="305"/>
      <c r="J89" s="305"/>
    </row>
    <row r="90" spans="1:10" ht="15.75" thickBot="1" x14ac:dyDescent="0.3">
      <c r="A90" s="305"/>
      <c r="B90" s="520"/>
      <c r="C90" s="525" t="str">
        <f t="shared" si="6"/>
        <v>- 0</v>
      </c>
      <c r="D90" s="526"/>
      <c r="E90" s="149"/>
      <c r="F90" s="149"/>
      <c r="G90" s="149"/>
      <c r="H90" s="150"/>
      <c r="I90" s="305"/>
      <c r="J90" s="305"/>
    </row>
    <row r="91" spans="1:10" ht="16.5" thickBot="1" x14ac:dyDescent="0.3">
      <c r="A91" s="305"/>
      <c r="B91" s="497" t="s">
        <v>148</v>
      </c>
      <c r="C91" s="498"/>
      <c r="D91" s="498"/>
      <c r="E91" s="498"/>
      <c r="F91" s="498"/>
      <c r="G91" s="498"/>
      <c r="H91" s="499"/>
      <c r="I91" s="305"/>
      <c r="J91" s="305"/>
    </row>
    <row r="92" spans="1:10" x14ac:dyDescent="0.25">
      <c r="A92" s="305"/>
      <c r="B92" s="245" t="s">
        <v>155</v>
      </c>
      <c r="C92" s="243" t="s">
        <v>149</v>
      </c>
      <c r="D92" s="247" t="s">
        <v>104</v>
      </c>
      <c r="E92" s="147"/>
      <c r="F92" s="147"/>
      <c r="G92" s="147"/>
      <c r="H92" s="148"/>
      <c r="I92" s="305"/>
      <c r="J92" s="305"/>
    </row>
    <row r="93" spans="1:10" x14ac:dyDescent="0.25">
      <c r="A93" s="305"/>
      <c r="B93" s="287" t="s">
        <v>110</v>
      </c>
      <c r="C93" s="288" t="e">
        <f>C59+E59</f>
        <v>#DIV/0!</v>
      </c>
      <c r="D93" s="297" t="e">
        <f>D59+F59</f>
        <v>#DIV/0!</v>
      </c>
      <c r="E93" s="157"/>
      <c r="F93" s="157"/>
      <c r="G93" s="157"/>
      <c r="H93" s="158"/>
      <c r="I93" s="305"/>
      <c r="J93" s="305"/>
    </row>
    <row r="94" spans="1:10" x14ac:dyDescent="0.25">
      <c r="A94" s="305"/>
      <c r="B94" s="289" t="str">
        <f t="shared" ref="B94:D97" si="7">B70</f>
        <v>Oncopole</v>
      </c>
      <c r="C94" s="290" t="e">
        <f t="shared" si="7"/>
        <v>#DIV/0!</v>
      </c>
      <c r="D94" s="298" t="e">
        <f t="shared" si="7"/>
        <v>#DIV/0!</v>
      </c>
      <c r="E94" s="149"/>
      <c r="F94" s="149"/>
      <c r="G94" s="149"/>
      <c r="H94" s="150"/>
      <c r="I94" s="305"/>
      <c r="J94" s="305"/>
    </row>
    <row r="95" spans="1:10" x14ac:dyDescent="0.25">
      <c r="A95" s="305"/>
      <c r="B95" s="289" t="str">
        <f t="shared" si="7"/>
        <v>SRC</v>
      </c>
      <c r="C95" s="290" t="e">
        <f t="shared" si="7"/>
        <v>#DIV/0!</v>
      </c>
      <c r="D95" s="298" t="e">
        <f t="shared" si="7"/>
        <v>#DIV/0!</v>
      </c>
      <c r="E95" s="149"/>
      <c r="F95" s="149"/>
      <c r="G95" s="149"/>
      <c r="H95" s="150"/>
      <c r="I95" s="305"/>
      <c r="J95" s="305"/>
    </row>
    <row r="96" spans="1:10" x14ac:dyDescent="0.25">
      <c r="A96" s="305"/>
      <c r="B96" s="289" t="str">
        <f t="shared" si="7"/>
        <v>MEDTEQ</v>
      </c>
      <c r="C96" s="290">
        <f t="shared" si="7"/>
        <v>0</v>
      </c>
      <c r="D96" s="298" t="e">
        <f t="shared" si="7"/>
        <v>#DIV/0!</v>
      </c>
      <c r="E96" s="149"/>
      <c r="F96" s="149"/>
      <c r="G96" s="149"/>
      <c r="H96" s="150"/>
      <c r="I96" s="305"/>
      <c r="J96" s="305"/>
    </row>
    <row r="97" spans="1:10" ht="15.75" thickBot="1" x14ac:dyDescent="0.3">
      <c r="A97" s="305"/>
      <c r="B97" s="299" t="str">
        <f t="shared" si="7"/>
        <v>Institut TransMedTech</v>
      </c>
      <c r="C97" s="300">
        <f t="shared" si="7"/>
        <v>0</v>
      </c>
      <c r="D97" s="301" t="e">
        <f t="shared" si="7"/>
        <v>#DIV/0!</v>
      </c>
      <c r="E97" s="149"/>
      <c r="F97" s="149"/>
      <c r="G97" s="149"/>
      <c r="H97" s="150"/>
      <c r="I97" s="305"/>
      <c r="J97" s="305"/>
    </row>
    <row r="98" spans="1:10" ht="16.5" thickBot="1" x14ac:dyDescent="0.3">
      <c r="A98" s="305"/>
      <c r="B98" s="497" t="s">
        <v>191</v>
      </c>
      <c r="C98" s="498"/>
      <c r="D98" s="498"/>
      <c r="E98" s="498"/>
      <c r="F98" s="498"/>
      <c r="G98" s="498"/>
      <c r="H98" s="499"/>
      <c r="I98" s="305"/>
      <c r="J98" s="305"/>
    </row>
    <row r="99" spans="1:10" x14ac:dyDescent="0.25">
      <c r="A99" s="305"/>
      <c r="B99" s="245" t="s">
        <v>110</v>
      </c>
      <c r="C99" s="242" t="s">
        <v>150</v>
      </c>
      <c r="D99" s="242" t="s">
        <v>151</v>
      </c>
      <c r="E99" s="242" t="s">
        <v>57</v>
      </c>
      <c r="F99" s="513" t="s">
        <v>152</v>
      </c>
      <c r="G99" s="514"/>
      <c r="H99" s="248" t="s">
        <v>153</v>
      </c>
      <c r="I99" s="305"/>
      <c r="J99" s="305"/>
    </row>
    <row r="100" spans="1:10" x14ac:dyDescent="0.25">
      <c r="A100" s="305"/>
      <c r="B100" s="291">
        <f>B60</f>
        <v>0</v>
      </c>
      <c r="C100" s="290" t="e">
        <f>C60-D100</f>
        <v>#DIV/0!</v>
      </c>
      <c r="D100" s="288" t="e">
        <f>$G47*(FIR_Ind/D59)</f>
        <v>#DIV/0!</v>
      </c>
      <c r="E100" s="290">
        <f>G60</f>
        <v>0</v>
      </c>
      <c r="F100" s="515">
        <f>I60</f>
        <v>0</v>
      </c>
      <c r="G100" s="515"/>
      <c r="H100" s="292" t="e">
        <f>SUM(C100:G100)</f>
        <v>#DIV/0!</v>
      </c>
      <c r="I100" s="305"/>
      <c r="J100" s="305"/>
    </row>
    <row r="101" spans="1:10" x14ac:dyDescent="0.25">
      <c r="A101" s="305"/>
      <c r="B101" s="291">
        <f>B61</f>
        <v>0</v>
      </c>
      <c r="C101" s="290" t="e">
        <f t="shared" ref="C101:C103" si="8">C61-D101</f>
        <v>#DIV/0!</v>
      </c>
      <c r="D101" s="288" t="e">
        <f>G47*D61/D59</f>
        <v>#DIV/0!</v>
      </c>
      <c r="E101" s="290">
        <f>G61</f>
        <v>0</v>
      </c>
      <c r="F101" s="515">
        <f t="shared" ref="F101:F103" si="9">I61</f>
        <v>0</v>
      </c>
      <c r="G101" s="515"/>
      <c r="H101" s="292" t="e">
        <f t="shared" ref="H101:H103" si="10">SUM(C101:G101)</f>
        <v>#DIV/0!</v>
      </c>
      <c r="I101" s="305"/>
      <c r="J101" s="305"/>
    </row>
    <row r="102" spans="1:10" x14ac:dyDescent="0.25">
      <c r="A102" s="305"/>
      <c r="B102" s="291">
        <f>B62</f>
        <v>0</v>
      </c>
      <c r="C102" s="290" t="e">
        <f t="shared" si="8"/>
        <v>#DIV/0!</v>
      </c>
      <c r="D102" s="288" t="e">
        <f>$G47*(D62/D59)</f>
        <v>#DIV/0!</v>
      </c>
      <c r="E102" s="290">
        <f t="shared" ref="E102:E103" si="11">G62</f>
        <v>0</v>
      </c>
      <c r="F102" s="515">
        <f t="shared" si="9"/>
        <v>0</v>
      </c>
      <c r="G102" s="515"/>
      <c r="H102" s="292" t="e">
        <f t="shared" si="10"/>
        <v>#DIV/0!</v>
      </c>
      <c r="I102" s="305"/>
      <c r="J102" s="305"/>
    </row>
    <row r="103" spans="1:10" ht="15.75" thickBot="1" x14ac:dyDescent="0.3">
      <c r="A103" s="305"/>
      <c r="B103" s="293">
        <f>B63</f>
        <v>0</v>
      </c>
      <c r="C103" s="295" t="e">
        <f t="shared" si="8"/>
        <v>#DIV/0!</v>
      </c>
      <c r="D103" s="294" t="e">
        <f>$G47*(D63/D59)</f>
        <v>#DIV/0!</v>
      </c>
      <c r="E103" s="295">
        <f t="shared" si="11"/>
        <v>0</v>
      </c>
      <c r="F103" s="512">
        <f t="shared" si="9"/>
        <v>0</v>
      </c>
      <c r="G103" s="512"/>
      <c r="H103" s="296" t="e">
        <f t="shared" si="10"/>
        <v>#DIV/0!</v>
      </c>
      <c r="I103" s="305"/>
      <c r="J103" s="305"/>
    </row>
    <row r="104" spans="1:10" x14ac:dyDescent="0.25">
      <c r="A104" s="305"/>
      <c r="B104" s="305"/>
      <c r="C104" s="305"/>
      <c r="D104" s="305"/>
      <c r="E104" s="305"/>
      <c r="F104" s="305"/>
      <c r="G104" s="305"/>
      <c r="H104" s="305"/>
      <c r="I104" s="305"/>
      <c r="J104" s="305"/>
    </row>
    <row r="105" spans="1:10" x14ac:dyDescent="0.25">
      <c r="A105" s="305"/>
      <c r="B105" s="305"/>
      <c r="C105" s="305"/>
      <c r="D105" s="305"/>
      <c r="E105" s="305"/>
      <c r="F105" s="305"/>
      <c r="G105" s="305"/>
      <c r="H105" s="305"/>
      <c r="I105" s="305"/>
      <c r="J105" s="305"/>
    </row>
    <row r="106" spans="1:10" x14ac:dyDescent="0.25">
      <c r="A106" s="305"/>
      <c r="B106" s="305"/>
      <c r="C106" s="305"/>
      <c r="D106" s="305"/>
      <c r="E106" s="305"/>
      <c r="F106" s="305"/>
      <c r="G106" s="305"/>
      <c r="H106" s="305"/>
      <c r="I106" s="305"/>
      <c r="J106" s="305"/>
    </row>
    <row r="107" spans="1:10" x14ac:dyDescent="0.25">
      <c r="A107" s="305"/>
      <c r="B107" s="305"/>
      <c r="C107" s="305"/>
      <c r="D107" s="305"/>
      <c r="E107" s="305"/>
      <c r="F107" s="305"/>
      <c r="G107" s="305"/>
      <c r="H107" s="305"/>
      <c r="I107" s="305"/>
      <c r="J107" s="305"/>
    </row>
    <row r="108" spans="1:10" x14ac:dyDescent="0.25">
      <c r="A108" s="305"/>
    </row>
  </sheetData>
  <protectedRanges>
    <protectedRange sqref="C60:C63 E60:E63" name="Coût des industriels"/>
    <protectedRange sqref="H34:H36 H38:H40 H42 G51 H30:H32 C30:F32 C34:F36 C38:F40 C42:F42" name="Budget de recherche"/>
    <protectedRange sqref="E22:I25" name="Info industriels"/>
    <protectedRange sqref="C20:C25" name="Info projet"/>
  </protectedRanges>
  <mergeCells count="123">
    <mergeCell ref="F103:G103"/>
    <mergeCell ref="B91:H91"/>
    <mergeCell ref="B98:H98"/>
    <mergeCell ref="F99:G99"/>
    <mergeCell ref="F100:G100"/>
    <mergeCell ref="F101:G101"/>
    <mergeCell ref="F102:G102"/>
    <mergeCell ref="C85:D85"/>
    <mergeCell ref="C86:D86"/>
    <mergeCell ref="B87:B90"/>
    <mergeCell ref="C87:D87"/>
    <mergeCell ref="C88:D88"/>
    <mergeCell ref="C89:D89"/>
    <mergeCell ref="C90:D90"/>
    <mergeCell ref="B77:H78"/>
    <mergeCell ref="B80:H80"/>
    <mergeCell ref="C81:D81"/>
    <mergeCell ref="C82:D82"/>
    <mergeCell ref="C83:D83"/>
    <mergeCell ref="C84:D84"/>
    <mergeCell ref="G69:H69"/>
    <mergeCell ref="G70:H70"/>
    <mergeCell ref="G71:H71"/>
    <mergeCell ref="G72:H72"/>
    <mergeCell ref="G73:H73"/>
    <mergeCell ref="G74:H74"/>
    <mergeCell ref="G63:H63"/>
    <mergeCell ref="C65:F65"/>
    <mergeCell ref="C67:F67"/>
    <mergeCell ref="C68:D68"/>
    <mergeCell ref="E68:F68"/>
    <mergeCell ref="G68:H68"/>
    <mergeCell ref="E57:F57"/>
    <mergeCell ref="G58:H58"/>
    <mergeCell ref="G59:H59"/>
    <mergeCell ref="G60:H60"/>
    <mergeCell ref="G61:H61"/>
    <mergeCell ref="G62:H62"/>
    <mergeCell ref="G51:H51"/>
    <mergeCell ref="C52:D52"/>
    <mergeCell ref="G53:H53"/>
    <mergeCell ref="B55:J55"/>
    <mergeCell ref="B56:B57"/>
    <mergeCell ref="C56:F56"/>
    <mergeCell ref="G56:H57"/>
    <mergeCell ref="I56:I58"/>
    <mergeCell ref="J56:J57"/>
    <mergeCell ref="C57:D57"/>
    <mergeCell ref="C47:D47"/>
    <mergeCell ref="E47:F47"/>
    <mergeCell ref="G47:H47"/>
    <mergeCell ref="C49:D49"/>
    <mergeCell ref="E49:F49"/>
    <mergeCell ref="G49:H49"/>
    <mergeCell ref="C45:D45"/>
    <mergeCell ref="E45:F45"/>
    <mergeCell ref="G45:H45"/>
    <mergeCell ref="C46:D46"/>
    <mergeCell ref="E46:F46"/>
    <mergeCell ref="G46:H46"/>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E25:F25"/>
    <mergeCell ref="B27:H27"/>
    <mergeCell ref="C28:D28"/>
    <mergeCell ref="E28:F28"/>
    <mergeCell ref="G28:H28"/>
    <mergeCell ref="C29:D29"/>
    <mergeCell ref="E29:F29"/>
    <mergeCell ref="G29:H29"/>
    <mergeCell ref="L13:M13"/>
    <mergeCell ref="B19:C19"/>
    <mergeCell ref="E20:I20"/>
    <mergeCell ref="E21:F21"/>
    <mergeCell ref="E22:F22"/>
    <mergeCell ref="E23:F23"/>
    <mergeCell ref="E24:F24"/>
    <mergeCell ref="B11:I11"/>
    <mergeCell ref="B12:I12"/>
    <mergeCell ref="B13:I13"/>
    <mergeCell ref="B14:I14"/>
    <mergeCell ref="B15:I15"/>
    <mergeCell ref="B16:I16"/>
  </mergeCells>
  <conditionalFormatting sqref="C30:C32 E30:E32">
    <cfRule type="containsBlanks" dxfId="65" priority="19">
      <formula>LEN(TRIM(C30))=0</formula>
    </cfRule>
  </conditionalFormatting>
  <conditionalFormatting sqref="C34:C36 E34:E36">
    <cfRule type="containsBlanks" dxfId="64" priority="16">
      <formula>LEN(TRIM(C34))=0</formula>
    </cfRule>
  </conditionalFormatting>
  <conditionalFormatting sqref="C38:C40 E38:E40">
    <cfRule type="containsBlanks" dxfId="63" priority="15">
      <formula>LEN(TRIM(C38))=0</formula>
    </cfRule>
  </conditionalFormatting>
  <conditionalFormatting sqref="C42 E42">
    <cfRule type="containsBlanks" dxfId="62" priority="13">
      <formula>LEN(TRIM(C42))=0</formula>
    </cfRule>
  </conditionalFormatting>
  <conditionalFormatting sqref="C25 C20:C23">
    <cfRule type="cellIs" dxfId="61" priority="12" operator="equal">
      <formula>"Sélectionnez"</formula>
    </cfRule>
  </conditionalFormatting>
  <conditionalFormatting sqref="B65">
    <cfRule type="expression" dxfId="60" priority="11">
      <formula>$D$38=Mitacs</formula>
    </cfRule>
  </conditionalFormatting>
  <conditionalFormatting sqref="C65">
    <cfRule type="cellIs" dxfId="59" priority="5" operator="equal">
      <formula>"OK"</formula>
    </cfRule>
  </conditionalFormatting>
  <conditionalFormatting sqref="B73:I73">
    <cfRule type="cellIs" dxfId="58" priority="10" operator="equal">
      <formula>""</formula>
    </cfRule>
  </conditionalFormatting>
  <conditionalFormatting sqref="G22:I25">
    <cfRule type="cellIs" dxfId="57" priority="9" operator="equal">
      <formula>"Sélectionnez"</formula>
    </cfRule>
  </conditionalFormatting>
  <conditionalFormatting sqref="C64:F64">
    <cfRule type="cellIs" dxfId="56" priority="6" operator="lessThan">
      <formula>0</formula>
    </cfRule>
    <cfRule type="cellIs" dxfId="55" priority="7" operator="greaterThan">
      <formula>0</formula>
    </cfRule>
    <cfRule type="cellIs" dxfId="54" priority="8" operator="equal">
      <formula>0</formula>
    </cfRule>
  </conditionalFormatting>
  <conditionalFormatting sqref="C24:C25">
    <cfRule type="cellIs" dxfId="53" priority="1" operator="equal">
      <formula>""</formula>
    </cfRule>
    <cfRule type="cellIs" dxfId="52" priority="4" operator="equal">
      <formula>"Entrer le nom"</formula>
    </cfRule>
  </conditionalFormatting>
  <conditionalFormatting sqref="C65:F65">
    <cfRule type="cellIs" dxfId="51" priority="3" operator="equal">
      <formula>"""CONTRIBUTION EN ESPÈCE ET EN NATURE INSUFFISANTE"</formula>
    </cfRule>
  </conditionalFormatting>
  <conditionalFormatting sqref="C24">
    <cfRule type="cellIs" dxfId="50" priority="2" operator="equal">
      <formula>"Sélectionnez"</formula>
    </cfRule>
  </conditionalFormatting>
  <conditionalFormatting sqref="G51">
    <cfRule type="cellIs" dxfId="49" priority="74" operator="lessThanOrEqual">
      <formula>IF($C$21="2-3",0,0.25*$G$49)</formula>
    </cfRule>
    <cfRule type="cellIs" dxfId="48" priority="75" operator="greaterThan">
      <formula>IF($C$21="2-3",0,$G$49*0.25)</formula>
    </cfRule>
  </conditionalFormatting>
  <dataValidations count="2">
    <dataValidation type="whole" allowBlank="1" showInputMessage="1" showErrorMessage="1" error="Les montants doivent être des nombres entiers" sqref="C29:G43">
      <formula1>0</formula1>
      <formula2>99999999999</formula2>
    </dataValidation>
    <dataValidation type="list" allowBlank="1" showInputMessage="1" showErrorMessage="1" sqref="C20">
      <formula1>"FRA,ENG"</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Feuil1!$D$68:$D$84</xm:f>
          </x14:formula1>
          <xm:sqref>G22:G25</xm:sqref>
        </x14:dataValidation>
        <x14:dataValidation type="list" allowBlank="1" showInputMessage="1" showErrorMessage="1">
          <x14:formula1>
            <xm:f>Feuil1!$K$31:$K$36</xm:f>
          </x14:formula1>
          <xm:sqref>I22:I25</xm:sqref>
        </x14:dataValidation>
        <x14:dataValidation type="list" allowBlank="1" showInputMessage="1" showErrorMessage="1">
          <x14:formula1>
            <xm:f>Feuil1!$J$31:$J$33</xm:f>
          </x14:formula1>
          <xm:sqref>H22:H25</xm:sqref>
        </x14:dataValidation>
        <x14:dataValidation type="list" allowBlank="1" showInputMessage="1" showErrorMessage="1">
          <x14:formula1>
            <xm:f>Feuil1!$G$31:$G$33</xm:f>
          </x14:formula1>
          <xm:sqref>C21</xm:sqref>
        </x14:dataValidation>
        <x14:dataValidation type="list" allowBlank="1" showInputMessage="1" showErrorMessage="1">
          <x14:formula1>
            <xm:f>Feuil1!$H$31:$H$33</xm:f>
          </x14:formula1>
          <xm:sqref>C22:C25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opLeftCell="A43" zoomScale="85" zoomScaleNormal="85" workbookViewId="0">
      <selection activeCell="B77" sqref="B77:H78"/>
    </sheetView>
  </sheetViews>
  <sheetFormatPr baseColWidth="10" defaultColWidth="9.140625" defaultRowHeight="15" x14ac:dyDescent="0.25"/>
  <cols>
    <col min="2" max="2" width="41.7109375" customWidth="1"/>
    <col min="3" max="3" width="22.140625" customWidth="1"/>
    <col min="4" max="4" width="19.28515625" customWidth="1"/>
    <col min="5" max="5" width="22.85546875" customWidth="1"/>
    <col min="6" max="6" width="11.7109375" customWidth="1"/>
    <col min="7" max="7" width="18.7109375" customWidth="1"/>
    <col min="8" max="8" width="21.28515625" customWidth="1"/>
    <col min="9" max="9" width="29" customWidth="1"/>
    <col min="10" max="10" width="33.85546875" customWidth="1"/>
    <col min="11" max="11" width="32.28515625" bestFit="1" customWidth="1"/>
    <col min="12" max="12" width="15.7109375" customWidth="1"/>
    <col min="13" max="13" width="15.140625" customWidth="1"/>
  </cols>
  <sheetData>
    <row r="1" spans="1:13" x14ac:dyDescent="0.25">
      <c r="A1" s="305"/>
      <c r="B1" s="305"/>
      <c r="C1" s="305"/>
      <c r="D1" s="305"/>
      <c r="E1" s="305"/>
      <c r="F1" s="305"/>
      <c r="G1" s="305"/>
      <c r="H1" s="305"/>
      <c r="I1" s="305"/>
      <c r="J1" s="305"/>
    </row>
    <row r="2" spans="1:13" x14ac:dyDescent="0.25">
      <c r="A2" s="305"/>
      <c r="B2" s="305"/>
      <c r="C2" s="305"/>
      <c r="E2" s="305"/>
      <c r="F2" s="305"/>
      <c r="G2" s="305"/>
      <c r="H2" s="305"/>
      <c r="I2" s="305"/>
      <c r="J2" s="305"/>
    </row>
    <row r="3" spans="1:13" x14ac:dyDescent="0.25">
      <c r="A3" s="305"/>
      <c r="B3" s="305"/>
      <c r="C3" s="305"/>
      <c r="D3" s="305"/>
      <c r="E3" s="305"/>
      <c r="F3" s="305"/>
      <c r="G3" s="305"/>
      <c r="H3" s="305"/>
      <c r="I3" s="305"/>
      <c r="J3" s="305"/>
    </row>
    <row r="4" spans="1:13" x14ac:dyDescent="0.25">
      <c r="A4" s="305"/>
      <c r="B4" s="305"/>
      <c r="C4" s="305"/>
      <c r="D4" s="305"/>
      <c r="E4" s="305"/>
      <c r="F4" s="305"/>
      <c r="G4" s="305"/>
      <c r="H4" s="305"/>
      <c r="I4" s="305"/>
      <c r="J4" s="305"/>
    </row>
    <row r="5" spans="1:13" x14ac:dyDescent="0.25">
      <c r="A5" s="305"/>
      <c r="B5" s="305"/>
      <c r="D5" s="305"/>
      <c r="E5" s="305"/>
      <c r="F5" s="305"/>
      <c r="G5" s="305"/>
      <c r="H5" s="305"/>
      <c r="I5" s="305"/>
      <c r="J5" s="305"/>
    </row>
    <row r="6" spans="1:13" x14ac:dyDescent="0.25">
      <c r="A6" s="305"/>
      <c r="B6" s="305"/>
      <c r="C6" s="305"/>
      <c r="E6" s="305"/>
      <c r="F6" s="305"/>
      <c r="G6" s="305"/>
      <c r="H6" s="305"/>
      <c r="I6" s="305"/>
      <c r="J6" s="305"/>
    </row>
    <row r="7" spans="1:13" x14ac:dyDescent="0.25">
      <c r="A7" s="305"/>
      <c r="B7" s="305"/>
      <c r="C7" s="305"/>
      <c r="D7" s="305"/>
      <c r="E7" s="305"/>
      <c r="F7" s="305"/>
      <c r="G7" s="305"/>
      <c r="H7" s="305"/>
      <c r="I7" s="305"/>
      <c r="J7" s="305"/>
    </row>
    <row r="8" spans="1:13" ht="36" x14ac:dyDescent="0.55000000000000004">
      <c r="A8" s="305"/>
      <c r="B8" s="305"/>
      <c r="C8" s="305"/>
      <c r="D8" s="307" t="s">
        <v>324</v>
      </c>
      <c r="E8" s="305"/>
      <c r="F8" s="305"/>
      <c r="G8" s="305"/>
      <c r="H8" s="305"/>
      <c r="I8" s="305"/>
      <c r="J8" s="305"/>
    </row>
    <row r="9" spans="1:13" x14ac:dyDescent="0.25">
      <c r="A9" s="305"/>
      <c r="B9" s="305"/>
      <c r="C9" s="305"/>
      <c r="D9" s="305"/>
      <c r="E9" s="305"/>
      <c r="F9" s="305"/>
      <c r="G9" s="305"/>
      <c r="H9" s="305"/>
      <c r="I9" s="305"/>
      <c r="J9" s="305"/>
    </row>
    <row r="10" spans="1:13" ht="23.25" x14ac:dyDescent="0.35">
      <c r="A10" s="305"/>
      <c r="B10" s="363" t="s">
        <v>144</v>
      </c>
      <c r="C10" s="305"/>
      <c r="D10" s="305"/>
      <c r="E10" s="305"/>
      <c r="F10" s="305"/>
      <c r="G10" s="305"/>
      <c r="H10" s="305"/>
      <c r="I10" s="305"/>
      <c r="J10" s="305"/>
    </row>
    <row r="11" spans="1:13" ht="28.5" customHeight="1" x14ac:dyDescent="0.3">
      <c r="A11" s="305"/>
      <c r="B11" s="527" t="s">
        <v>346</v>
      </c>
      <c r="C11" s="528"/>
      <c r="D11" s="528"/>
      <c r="E11" s="528"/>
      <c r="F11" s="528"/>
      <c r="G11" s="528"/>
      <c r="H11" s="528"/>
      <c r="I11" s="528"/>
      <c r="J11" s="305"/>
    </row>
    <row r="12" spans="1:13" ht="27" customHeight="1" x14ac:dyDescent="0.3">
      <c r="A12" s="305"/>
      <c r="B12" s="527" t="s">
        <v>355</v>
      </c>
      <c r="C12" s="528"/>
      <c r="D12" s="528"/>
      <c r="E12" s="528"/>
      <c r="F12" s="528"/>
      <c r="G12" s="528"/>
      <c r="H12" s="528"/>
      <c r="I12" s="528"/>
      <c r="J12" s="305"/>
    </row>
    <row r="13" spans="1:13" ht="96" customHeight="1" x14ac:dyDescent="0.25">
      <c r="A13" s="305"/>
      <c r="B13" s="529" t="s">
        <v>357</v>
      </c>
      <c r="C13" s="529"/>
      <c r="D13" s="529"/>
      <c r="E13" s="529"/>
      <c r="F13" s="529"/>
      <c r="G13" s="529"/>
      <c r="H13" s="529"/>
      <c r="I13" s="529"/>
      <c r="J13" s="305"/>
      <c r="K13" s="132"/>
      <c r="L13" s="367" t="s">
        <v>116</v>
      </c>
      <c r="M13" s="367"/>
    </row>
    <row r="14" spans="1:13" ht="43.5" customHeight="1" x14ac:dyDescent="0.25">
      <c r="A14" s="305"/>
      <c r="B14" s="530" t="s">
        <v>356</v>
      </c>
      <c r="C14" s="530"/>
      <c r="D14" s="530"/>
      <c r="E14" s="530"/>
      <c r="F14" s="530"/>
      <c r="G14" s="530"/>
      <c r="H14" s="530"/>
      <c r="I14" s="530"/>
      <c r="J14" s="305"/>
      <c r="K14" s="145" t="s">
        <v>117</v>
      </c>
      <c r="L14" s="145" t="s">
        <v>226</v>
      </c>
      <c r="M14" s="145" t="s">
        <v>41</v>
      </c>
    </row>
    <row r="15" spans="1:13" ht="24.75" customHeight="1" x14ac:dyDescent="0.3">
      <c r="A15" s="305"/>
      <c r="B15" s="528" t="s">
        <v>358</v>
      </c>
      <c r="C15" s="528"/>
      <c r="D15" s="528"/>
      <c r="E15" s="528"/>
      <c r="F15" s="528"/>
      <c r="G15" s="528"/>
      <c r="H15" s="528"/>
      <c r="I15" s="528"/>
      <c r="J15" s="305"/>
      <c r="K15" s="137" t="s">
        <v>227</v>
      </c>
      <c r="L15" s="138">
        <v>0</v>
      </c>
      <c r="M15" s="134"/>
    </row>
    <row r="16" spans="1:13" ht="91.5" customHeight="1" x14ac:dyDescent="0.3">
      <c r="A16" s="305"/>
      <c r="B16" s="531" t="s">
        <v>360</v>
      </c>
      <c r="C16" s="527"/>
      <c r="D16" s="527"/>
      <c r="E16" s="527"/>
      <c r="F16" s="527"/>
      <c r="G16" s="527"/>
      <c r="H16" s="527"/>
      <c r="I16" s="527"/>
      <c r="J16" s="305"/>
      <c r="K16" s="135" t="s">
        <v>118</v>
      </c>
      <c r="L16" s="136">
        <v>0.27</v>
      </c>
      <c r="M16" s="136">
        <v>0.27</v>
      </c>
    </row>
    <row r="17" spans="1:13" ht="18.75" x14ac:dyDescent="0.3">
      <c r="A17" s="305"/>
      <c r="B17" s="365" t="s">
        <v>361</v>
      </c>
      <c r="C17" s="365"/>
      <c r="D17" s="365"/>
      <c r="E17" s="365"/>
      <c r="F17" s="365"/>
      <c r="G17" s="365"/>
      <c r="H17" s="365"/>
      <c r="I17" s="365"/>
      <c r="J17" s="305"/>
      <c r="K17" s="135" t="s">
        <v>119</v>
      </c>
      <c r="L17" s="136">
        <v>0.27</v>
      </c>
      <c r="M17" s="136">
        <v>0.27</v>
      </c>
    </row>
    <row r="18" spans="1:13" ht="15.75" thickBot="1" x14ac:dyDescent="0.3">
      <c r="A18" s="305"/>
      <c r="D18" s="305"/>
      <c r="E18" s="305"/>
      <c r="F18" s="305"/>
      <c r="G18" s="305"/>
      <c r="H18" s="305"/>
      <c r="I18" s="305"/>
      <c r="J18" s="305"/>
      <c r="K18" s="135" t="s">
        <v>120</v>
      </c>
      <c r="L18" s="136">
        <v>0.3</v>
      </c>
      <c r="M18" s="136">
        <v>0.27</v>
      </c>
    </row>
    <row r="19" spans="1:13" ht="15.75" thickBot="1" x14ac:dyDescent="0.3">
      <c r="A19" s="305"/>
      <c r="B19" s="411" t="s">
        <v>334</v>
      </c>
      <c r="C19" s="412"/>
      <c r="D19" s="305"/>
      <c r="E19" s="305"/>
      <c r="F19" s="305"/>
      <c r="G19" s="305"/>
      <c r="H19" s="305"/>
      <c r="I19" s="305"/>
      <c r="J19" s="305"/>
      <c r="K19" s="135" t="s">
        <v>121</v>
      </c>
      <c r="L19" s="136">
        <v>0.3</v>
      </c>
      <c r="M19" s="136">
        <v>0.27</v>
      </c>
    </row>
    <row r="20" spans="1:13" ht="15.75" thickBot="1" x14ac:dyDescent="0.3">
      <c r="A20" s="305"/>
      <c r="B20" s="275" t="s">
        <v>223</v>
      </c>
      <c r="C20" s="276" t="s">
        <v>224</v>
      </c>
      <c r="D20" s="305"/>
      <c r="E20" s="413" t="s">
        <v>284</v>
      </c>
      <c r="F20" s="414"/>
      <c r="G20" s="414"/>
      <c r="H20" s="414"/>
      <c r="I20" s="415"/>
      <c r="J20" s="305"/>
      <c r="K20" s="135" t="s">
        <v>122</v>
      </c>
      <c r="L20" s="136">
        <v>0.3</v>
      </c>
      <c r="M20" s="136">
        <v>0.27</v>
      </c>
    </row>
    <row r="21" spans="1:13" x14ac:dyDescent="0.25">
      <c r="A21" s="305"/>
      <c r="B21" s="275" t="s">
        <v>335</v>
      </c>
      <c r="C21" s="276" t="s">
        <v>256</v>
      </c>
      <c r="D21" s="305"/>
      <c r="E21" s="416" t="s">
        <v>283</v>
      </c>
      <c r="F21" s="417"/>
      <c r="G21" s="283" t="s">
        <v>285</v>
      </c>
      <c r="H21" s="174" t="s">
        <v>286</v>
      </c>
      <c r="I21" s="175" t="s">
        <v>287</v>
      </c>
      <c r="J21" s="305"/>
      <c r="K21" s="135" t="s">
        <v>123</v>
      </c>
      <c r="L21" s="136">
        <v>0.3</v>
      </c>
      <c r="M21" s="136">
        <v>0.27</v>
      </c>
    </row>
    <row r="22" spans="1:13" x14ac:dyDescent="0.25">
      <c r="A22" s="305"/>
      <c r="B22" s="179" t="s">
        <v>345</v>
      </c>
      <c r="C22" s="176" t="s">
        <v>227</v>
      </c>
      <c r="D22" s="305"/>
      <c r="E22" s="418"/>
      <c r="F22" s="419"/>
      <c r="G22" s="313" t="s">
        <v>227</v>
      </c>
      <c r="H22" s="281" t="s">
        <v>227</v>
      </c>
      <c r="I22" s="176" t="s">
        <v>227</v>
      </c>
      <c r="J22" s="305"/>
      <c r="K22" s="135" t="s">
        <v>124</v>
      </c>
      <c r="L22" s="136">
        <v>0.27</v>
      </c>
      <c r="M22" s="136">
        <v>0.27</v>
      </c>
    </row>
    <row r="23" spans="1:13" x14ac:dyDescent="0.25">
      <c r="A23" s="305"/>
      <c r="B23" s="180" t="s">
        <v>225</v>
      </c>
      <c r="C23" s="177" t="s">
        <v>227</v>
      </c>
      <c r="D23" s="305"/>
      <c r="E23" s="418"/>
      <c r="F23" s="419"/>
      <c r="G23" s="313" t="s">
        <v>227</v>
      </c>
      <c r="H23" s="281" t="s">
        <v>227</v>
      </c>
      <c r="I23" s="176" t="s">
        <v>227</v>
      </c>
      <c r="J23" s="305"/>
      <c r="K23" s="135" t="s">
        <v>125</v>
      </c>
      <c r="L23" s="136">
        <v>0.27</v>
      </c>
      <c r="M23" s="136">
        <v>0.27</v>
      </c>
    </row>
    <row r="24" spans="1:13" x14ac:dyDescent="0.25">
      <c r="A24" s="305"/>
      <c r="B24" s="180" t="s">
        <v>282</v>
      </c>
      <c r="C24" s="177"/>
      <c r="D24" s="305"/>
      <c r="E24" s="418"/>
      <c r="F24" s="419"/>
      <c r="G24" s="313" t="s">
        <v>227</v>
      </c>
      <c r="H24" s="281" t="s">
        <v>227</v>
      </c>
      <c r="I24" s="176" t="s">
        <v>227</v>
      </c>
      <c r="J24" s="308"/>
      <c r="K24" s="135" t="s">
        <v>126</v>
      </c>
      <c r="L24" s="136">
        <v>0.27</v>
      </c>
      <c r="M24" s="136">
        <v>0.27</v>
      </c>
    </row>
    <row r="25" spans="1:13" ht="15.75" thickBot="1" x14ac:dyDescent="0.3">
      <c r="A25" s="305"/>
      <c r="B25" s="181" t="s">
        <v>362</v>
      </c>
      <c r="C25" s="178"/>
      <c r="D25" s="305"/>
      <c r="E25" s="532"/>
      <c r="F25" s="533"/>
      <c r="G25" s="182" t="s">
        <v>227</v>
      </c>
      <c r="H25" s="182" t="s">
        <v>227</v>
      </c>
      <c r="I25" s="182" t="s">
        <v>227</v>
      </c>
      <c r="J25" s="308"/>
      <c r="K25" s="135" t="s">
        <v>127</v>
      </c>
      <c r="L25" s="136">
        <v>0</v>
      </c>
      <c r="M25" s="136">
        <v>0</v>
      </c>
    </row>
    <row r="26" spans="1:13" ht="15.75" thickBot="1" x14ac:dyDescent="0.3">
      <c r="A26" s="305"/>
      <c r="B26" s="305"/>
      <c r="C26" s="305"/>
      <c r="D26" s="305"/>
      <c r="E26" s="305"/>
      <c r="F26" s="305"/>
      <c r="G26" s="305"/>
      <c r="H26" s="305"/>
      <c r="I26" s="305"/>
      <c r="J26" s="305"/>
      <c r="K26" s="135" t="s">
        <v>128</v>
      </c>
      <c r="L26" s="136">
        <v>0</v>
      </c>
      <c r="M26" s="136">
        <v>0</v>
      </c>
    </row>
    <row r="27" spans="1:13" ht="24" thickBot="1" x14ac:dyDescent="0.3">
      <c r="A27" s="305"/>
      <c r="B27" s="428" t="s">
        <v>288</v>
      </c>
      <c r="C27" s="429"/>
      <c r="D27" s="429"/>
      <c r="E27" s="429"/>
      <c r="F27" s="429"/>
      <c r="G27" s="429"/>
      <c r="H27" s="430"/>
      <c r="I27" s="309"/>
      <c r="J27" s="305"/>
      <c r="K27" s="135" t="s">
        <v>129</v>
      </c>
      <c r="L27" s="136">
        <v>0.3</v>
      </c>
      <c r="M27" s="136">
        <v>0.27</v>
      </c>
    </row>
    <row r="28" spans="1:13" ht="15.75" thickBot="1" x14ac:dyDescent="0.3">
      <c r="A28" s="305"/>
      <c r="B28" s="210" t="s">
        <v>289</v>
      </c>
      <c r="C28" s="431">
        <v>1</v>
      </c>
      <c r="D28" s="432"/>
      <c r="E28" s="431">
        <v>2</v>
      </c>
      <c r="F28" s="432"/>
      <c r="G28" s="431" t="s">
        <v>59</v>
      </c>
      <c r="H28" s="433"/>
      <c r="I28" s="305"/>
      <c r="J28" s="305"/>
      <c r="K28" s="135" t="s">
        <v>232</v>
      </c>
      <c r="L28" s="136">
        <v>0.3</v>
      </c>
      <c r="M28" s="136">
        <v>0.27</v>
      </c>
    </row>
    <row r="29" spans="1:13" x14ac:dyDescent="0.25">
      <c r="A29" s="305"/>
      <c r="B29" s="183" t="s">
        <v>70</v>
      </c>
      <c r="C29" s="434">
        <f>SUM(C30:C32)</f>
        <v>0</v>
      </c>
      <c r="D29" s="435"/>
      <c r="E29" s="434">
        <f>SUM(E30:E32)</f>
        <v>0</v>
      </c>
      <c r="F29" s="435"/>
      <c r="G29" s="436">
        <f>SUM(C29:F29)</f>
        <v>0</v>
      </c>
      <c r="H29" s="437"/>
      <c r="I29" s="305"/>
      <c r="J29" s="305"/>
      <c r="K29" s="135" t="s">
        <v>131</v>
      </c>
      <c r="L29" s="136">
        <v>0.27</v>
      </c>
      <c r="M29" s="136">
        <v>0.27</v>
      </c>
    </row>
    <row r="30" spans="1:13" x14ac:dyDescent="0.25">
      <c r="A30" s="305"/>
      <c r="B30" s="188" t="s">
        <v>290</v>
      </c>
      <c r="C30" s="424">
        <f>'Budget de projet'!C30:D30</f>
        <v>0</v>
      </c>
      <c r="D30" s="425"/>
      <c r="E30" s="424">
        <f>'Budget de projet'!E30:F30</f>
        <v>0</v>
      </c>
      <c r="F30" s="425"/>
      <c r="G30" s="426">
        <f>SUM(C30:F30)</f>
        <v>0</v>
      </c>
      <c r="H30" s="427"/>
      <c r="I30" s="305"/>
      <c r="J30" s="305"/>
      <c r="K30" s="135" t="s">
        <v>132</v>
      </c>
      <c r="L30" s="136">
        <v>0.27</v>
      </c>
      <c r="M30" s="136">
        <v>0.27</v>
      </c>
    </row>
    <row r="31" spans="1:13" x14ac:dyDescent="0.25">
      <c r="A31" s="305"/>
      <c r="B31" s="188" t="s">
        <v>72</v>
      </c>
      <c r="C31" s="424">
        <f>'Budget de projet'!C31:D31</f>
        <v>0</v>
      </c>
      <c r="D31" s="425"/>
      <c r="E31" s="424">
        <f>'Budget de projet'!E31:F31</f>
        <v>0</v>
      </c>
      <c r="F31" s="425"/>
      <c r="G31" s="426">
        <f t="shared" ref="G31:G42" si="0">SUM(C31:F31)</f>
        <v>0</v>
      </c>
      <c r="H31" s="427"/>
      <c r="I31" s="305"/>
      <c r="J31" s="305"/>
      <c r="K31" s="135" t="s">
        <v>133</v>
      </c>
      <c r="L31" s="136">
        <v>0.27</v>
      </c>
      <c r="M31" s="136">
        <v>0.27</v>
      </c>
    </row>
    <row r="32" spans="1:13" x14ac:dyDescent="0.25">
      <c r="A32" s="305"/>
      <c r="B32" s="189" t="s">
        <v>291</v>
      </c>
      <c r="C32" s="424">
        <f>'Budget de projet'!C32:D32</f>
        <v>0</v>
      </c>
      <c r="D32" s="425"/>
      <c r="E32" s="424">
        <f>'Budget de projet'!E32:F32</f>
        <v>0</v>
      </c>
      <c r="F32" s="425"/>
      <c r="G32" s="426">
        <f t="shared" si="0"/>
        <v>0</v>
      </c>
      <c r="H32" s="427"/>
      <c r="I32" s="305"/>
      <c r="J32" s="305"/>
      <c r="K32" s="135" t="s">
        <v>228</v>
      </c>
      <c r="L32" s="136">
        <v>0.27</v>
      </c>
      <c r="M32" s="136">
        <v>0.27</v>
      </c>
    </row>
    <row r="33" spans="1:15" x14ac:dyDescent="0.25">
      <c r="A33" s="305"/>
      <c r="B33" s="184" t="s">
        <v>292</v>
      </c>
      <c r="C33" s="438">
        <f>SUM(C34:C36)</f>
        <v>0</v>
      </c>
      <c r="D33" s="439"/>
      <c r="E33" s="438">
        <f>SUM(E34:E36)</f>
        <v>0</v>
      </c>
      <c r="F33" s="439"/>
      <c r="G33" s="440">
        <f t="shared" si="0"/>
        <v>0</v>
      </c>
      <c r="H33" s="441"/>
      <c r="I33" s="305"/>
      <c r="J33" s="305"/>
      <c r="K33" s="135" t="s">
        <v>229</v>
      </c>
      <c r="L33" s="136">
        <v>0.27</v>
      </c>
      <c r="M33" s="136">
        <v>0.27</v>
      </c>
    </row>
    <row r="34" spans="1:15" x14ac:dyDescent="0.25">
      <c r="A34" s="305"/>
      <c r="B34" s="190" t="s">
        <v>293</v>
      </c>
      <c r="C34" s="424">
        <f>'Budget de projet'!C34:D34</f>
        <v>0</v>
      </c>
      <c r="D34" s="425"/>
      <c r="E34" s="424">
        <f>'Budget de projet'!E34:F34</f>
        <v>0</v>
      </c>
      <c r="F34" s="425"/>
      <c r="G34" s="426">
        <f t="shared" si="0"/>
        <v>0</v>
      </c>
      <c r="H34" s="427"/>
      <c r="I34" s="305"/>
      <c r="J34" s="305"/>
      <c r="K34" s="135" t="s">
        <v>230</v>
      </c>
      <c r="L34" s="136">
        <v>0.27</v>
      </c>
      <c r="M34" s="136">
        <v>0.27</v>
      </c>
    </row>
    <row r="35" spans="1:15" x14ac:dyDescent="0.25">
      <c r="A35" s="305"/>
      <c r="B35" s="190" t="s">
        <v>294</v>
      </c>
      <c r="C35" s="424">
        <f>'Budget de projet'!C35:D35</f>
        <v>0</v>
      </c>
      <c r="D35" s="425"/>
      <c r="E35" s="424">
        <f>'Budget de projet'!E35:F35</f>
        <v>0</v>
      </c>
      <c r="F35" s="425"/>
      <c r="G35" s="426">
        <f t="shared" si="0"/>
        <v>0</v>
      </c>
      <c r="H35" s="427"/>
      <c r="I35" s="305"/>
      <c r="J35" s="305"/>
      <c r="K35" s="135" t="s">
        <v>137</v>
      </c>
      <c r="L35" s="136">
        <v>0.27</v>
      </c>
      <c r="M35" s="136">
        <v>0.27</v>
      </c>
    </row>
    <row r="36" spans="1:15" x14ac:dyDescent="0.25">
      <c r="A36" s="305"/>
      <c r="B36" s="191" t="s">
        <v>295</v>
      </c>
      <c r="C36" s="424">
        <f>'Budget de projet'!C36:D36</f>
        <v>0</v>
      </c>
      <c r="D36" s="425"/>
      <c r="E36" s="424">
        <f>'Budget de projet'!E36:F36</f>
        <v>0</v>
      </c>
      <c r="F36" s="425"/>
      <c r="G36" s="426">
        <f t="shared" si="0"/>
        <v>0</v>
      </c>
      <c r="H36" s="427"/>
      <c r="I36" s="305"/>
      <c r="J36" s="305"/>
      <c r="K36" s="135" t="s">
        <v>231</v>
      </c>
      <c r="L36" s="136">
        <v>0.27</v>
      </c>
      <c r="M36" s="136">
        <v>0.27</v>
      </c>
    </row>
    <row r="37" spans="1:15" x14ac:dyDescent="0.25">
      <c r="A37" s="305"/>
      <c r="B37" s="185" t="s">
        <v>296</v>
      </c>
      <c r="C37" s="438">
        <f>SUM(C38:C40)</f>
        <v>0</v>
      </c>
      <c r="D37" s="439"/>
      <c r="E37" s="438">
        <f>SUM(E38:E40)</f>
        <v>0</v>
      </c>
      <c r="F37" s="439"/>
      <c r="G37" s="440">
        <f t="shared" si="0"/>
        <v>0</v>
      </c>
      <c r="H37" s="441"/>
      <c r="I37" s="305"/>
      <c r="J37" s="305"/>
      <c r="K37" s="278" t="s">
        <v>233</v>
      </c>
      <c r="L37" s="279"/>
      <c r="M37" s="279"/>
    </row>
    <row r="38" spans="1:15" ht="15.75" thickBot="1" x14ac:dyDescent="0.3">
      <c r="A38" s="305"/>
      <c r="B38" s="190" t="s">
        <v>297</v>
      </c>
      <c r="C38" s="424">
        <f>'Budget de projet'!C38:D38</f>
        <v>0</v>
      </c>
      <c r="D38" s="425"/>
      <c r="E38" s="424">
        <f>'Budget de projet'!E38:F38</f>
        <v>0</v>
      </c>
      <c r="F38" s="425"/>
      <c r="G38" s="426">
        <f t="shared" si="0"/>
        <v>0</v>
      </c>
      <c r="H38" s="427"/>
      <c r="I38" s="305"/>
      <c r="J38" s="305"/>
    </row>
    <row r="39" spans="1:15" ht="15.75" thickBot="1" x14ac:dyDescent="0.3">
      <c r="A39" s="305"/>
      <c r="B39" s="190" t="s">
        <v>298</v>
      </c>
      <c r="C39" s="424">
        <f>'Budget de projet'!C39:D39</f>
        <v>0</v>
      </c>
      <c r="D39" s="425"/>
      <c r="E39" s="424">
        <f>'Budget de projet'!E39:F39</f>
        <v>0</v>
      </c>
      <c r="F39" s="425"/>
      <c r="G39" s="426">
        <f t="shared" si="0"/>
        <v>0</v>
      </c>
      <c r="H39" s="427"/>
      <c r="I39" s="305"/>
      <c r="J39" s="305"/>
      <c r="K39" s="277" t="s">
        <v>157</v>
      </c>
    </row>
    <row r="40" spans="1:15" x14ac:dyDescent="0.25">
      <c r="A40" s="305"/>
      <c r="B40" s="190" t="s">
        <v>299</v>
      </c>
      <c r="C40" s="424">
        <f>'Budget de projet'!C40:D40</f>
        <v>0</v>
      </c>
      <c r="D40" s="425"/>
      <c r="E40" s="424">
        <f>'Budget de projet'!E40:F40</f>
        <v>0</v>
      </c>
      <c r="F40" s="425"/>
      <c r="G40" s="426">
        <f t="shared" si="0"/>
        <v>0</v>
      </c>
      <c r="H40" s="427"/>
      <c r="I40" s="305"/>
      <c r="J40" s="305"/>
      <c r="K40" s="249" t="s">
        <v>227</v>
      </c>
    </row>
    <row r="41" spans="1:15" x14ac:dyDescent="0.25">
      <c r="A41" s="305"/>
      <c r="B41" s="185" t="s">
        <v>300</v>
      </c>
      <c r="C41" s="438">
        <f>C42</f>
        <v>0</v>
      </c>
      <c r="D41" s="439"/>
      <c r="E41" s="438">
        <f>E42</f>
        <v>0</v>
      </c>
      <c r="F41" s="439"/>
      <c r="G41" s="440">
        <f t="shared" si="0"/>
        <v>0</v>
      </c>
      <c r="H41" s="441"/>
      <c r="I41" s="305"/>
      <c r="J41" s="305"/>
      <c r="K41" s="249" t="s">
        <v>234</v>
      </c>
      <c r="L41">
        <v>350</v>
      </c>
      <c r="M41">
        <v>850</v>
      </c>
      <c r="N41">
        <v>1800</v>
      </c>
      <c r="O41">
        <v>4000</v>
      </c>
    </row>
    <row r="42" spans="1:15" ht="15.75" thickBot="1" x14ac:dyDescent="0.3">
      <c r="A42" s="305"/>
      <c r="B42" s="192" t="s">
        <v>301</v>
      </c>
      <c r="C42" s="442">
        <f>'Budget de projet'!C42:D42</f>
        <v>0</v>
      </c>
      <c r="D42" s="443"/>
      <c r="E42" s="442">
        <f>'Budget de projet'!E42:F42</f>
        <v>0</v>
      </c>
      <c r="F42" s="443"/>
      <c r="G42" s="444">
        <f t="shared" si="0"/>
        <v>0</v>
      </c>
      <c r="H42" s="445"/>
      <c r="I42" s="305"/>
      <c r="J42" s="305"/>
      <c r="K42" s="249" t="s">
        <v>235</v>
      </c>
      <c r="L42">
        <v>4000</v>
      </c>
      <c r="M42">
        <v>7500</v>
      </c>
    </row>
    <row r="43" spans="1:15" ht="15.75" thickTop="1" x14ac:dyDescent="0.25">
      <c r="A43" s="305"/>
      <c r="B43" s="186" t="s">
        <v>302</v>
      </c>
      <c r="C43" s="446">
        <f>C29+C33+C37+C41</f>
        <v>0</v>
      </c>
      <c r="D43" s="447"/>
      <c r="E43" s="446">
        <f>E29+E33+E37+E41</f>
        <v>0</v>
      </c>
      <c r="F43" s="447"/>
      <c r="G43" s="448">
        <f>G29+G33+G37+G41</f>
        <v>0</v>
      </c>
      <c r="H43" s="449"/>
      <c r="I43" s="305"/>
      <c r="J43" s="305"/>
      <c r="K43" s="249" t="s">
        <v>236</v>
      </c>
      <c r="L43">
        <v>4000</v>
      </c>
    </row>
    <row r="44" spans="1:15" x14ac:dyDescent="0.25">
      <c r="A44" s="305"/>
      <c r="B44" s="195"/>
      <c r="C44" s="196"/>
      <c r="D44" s="196"/>
      <c r="E44" s="196"/>
      <c r="F44" s="196"/>
      <c r="G44" s="196"/>
      <c r="H44" s="197"/>
      <c r="I44" s="305"/>
      <c r="J44" s="305"/>
      <c r="K44" s="249" t="s">
        <v>198</v>
      </c>
      <c r="L44">
        <v>1800</v>
      </c>
    </row>
    <row r="45" spans="1:15" x14ac:dyDescent="0.25">
      <c r="A45" s="305"/>
      <c r="B45" s="193" t="s">
        <v>303</v>
      </c>
      <c r="C45" s="456">
        <f>SUM(C46:D47)</f>
        <v>0</v>
      </c>
      <c r="D45" s="457"/>
      <c r="E45" s="456">
        <f t="shared" ref="E45" si="1">SUM(E46:F47)</f>
        <v>0</v>
      </c>
      <c r="F45" s="457"/>
      <c r="G45" s="458">
        <f>SUM(G46:H47)</f>
        <v>0</v>
      </c>
      <c r="H45" s="459"/>
      <c r="I45" s="305"/>
      <c r="J45" s="305"/>
      <c r="K45" s="249" t="s">
        <v>237</v>
      </c>
      <c r="L45">
        <v>4000</v>
      </c>
    </row>
    <row r="46" spans="1:15" x14ac:dyDescent="0.25">
      <c r="A46" s="305"/>
      <c r="B46" s="190" t="s">
        <v>304</v>
      </c>
      <c r="C46" s="456">
        <f>0.02*C43</f>
        <v>0</v>
      </c>
      <c r="D46" s="457"/>
      <c r="E46" s="456">
        <f t="shared" ref="E46" si="2">0.02*E43</f>
        <v>0</v>
      </c>
      <c r="F46" s="457"/>
      <c r="G46" s="460">
        <f>SUM(C46:F46)</f>
        <v>0</v>
      </c>
      <c r="H46" s="461"/>
      <c r="I46" s="305"/>
      <c r="J46" s="305"/>
      <c r="K46" s="249" t="s">
        <v>238</v>
      </c>
      <c r="L46">
        <v>4000</v>
      </c>
    </row>
    <row r="47" spans="1:15" x14ac:dyDescent="0.25">
      <c r="A47" s="305"/>
      <c r="B47" s="194" t="s">
        <v>305</v>
      </c>
      <c r="C47" s="450">
        <f>0.03*C43</f>
        <v>0</v>
      </c>
      <c r="D47" s="451"/>
      <c r="E47" s="450">
        <f t="shared" ref="E47" si="3">0.03*E43</f>
        <v>0</v>
      </c>
      <c r="F47" s="451"/>
      <c r="G47" s="452">
        <f>SUM(C47:F47)</f>
        <v>0</v>
      </c>
      <c r="H47" s="453"/>
      <c r="I47" s="305"/>
      <c r="J47" s="305"/>
      <c r="K47" s="249" t="s">
        <v>239</v>
      </c>
      <c r="L47">
        <v>4000</v>
      </c>
    </row>
    <row r="48" spans="1:15" ht="15.75" thickBot="1" x14ac:dyDescent="0.3">
      <c r="A48" s="305"/>
      <c r="B48" s="198"/>
      <c r="C48" s="199"/>
      <c r="D48" s="199"/>
      <c r="E48" s="199"/>
      <c r="F48" s="199"/>
      <c r="G48" s="199"/>
      <c r="H48" s="200"/>
      <c r="I48" s="305"/>
      <c r="J48" s="305"/>
      <c r="K48" s="249" t="s">
        <v>201</v>
      </c>
      <c r="L48">
        <v>4000</v>
      </c>
    </row>
    <row r="49" spans="1:15" ht="15.75" thickTop="1" x14ac:dyDescent="0.25">
      <c r="A49" s="305"/>
      <c r="B49" s="187" t="s">
        <v>306</v>
      </c>
      <c r="C49" s="446">
        <f>C43+C45</f>
        <v>0</v>
      </c>
      <c r="D49" s="447"/>
      <c r="E49" s="446">
        <f>E43+E45</f>
        <v>0</v>
      </c>
      <c r="F49" s="447"/>
      <c r="G49" s="454">
        <f>G43+G45</f>
        <v>0</v>
      </c>
      <c r="H49" s="455"/>
      <c r="I49" s="305"/>
      <c r="J49" s="305"/>
      <c r="K49" s="249" t="s">
        <v>202</v>
      </c>
      <c r="L49">
        <v>1800</v>
      </c>
    </row>
    <row r="50" spans="1:15" x14ac:dyDescent="0.25">
      <c r="A50" s="305"/>
      <c r="B50" s="195"/>
      <c r="C50" s="196"/>
      <c r="D50" s="196"/>
      <c r="E50" s="196"/>
      <c r="F50" s="196"/>
      <c r="G50" s="196"/>
      <c r="H50" s="197"/>
      <c r="I50" s="305"/>
      <c r="J50" s="305"/>
      <c r="K50" s="249" t="s">
        <v>276</v>
      </c>
      <c r="L50">
        <v>850</v>
      </c>
      <c r="M50">
        <v>1800</v>
      </c>
    </row>
    <row r="51" spans="1:15" x14ac:dyDescent="0.25">
      <c r="A51" s="305"/>
      <c r="B51" s="208" t="str">
        <f>"In-kind taken in account (max : "&amp;IF(TRL="2-3","0% of Total eligible project cost = ","20 % of Total eligible project cost = ")&amp;IF(TRL="2-3",0,G49*25%)&amp;" $)"</f>
        <v>In-kind taken in account (max : 20 % of Total eligible project cost = 0 $)</v>
      </c>
      <c r="C51" s="209"/>
      <c r="D51" s="209"/>
      <c r="E51" s="209"/>
      <c r="F51" s="209"/>
      <c r="G51" s="462">
        <f>'Budget de projet'!G51</f>
        <v>0</v>
      </c>
      <c r="H51" s="463"/>
      <c r="I51" s="305"/>
      <c r="J51" s="305"/>
      <c r="K51" s="249" t="s">
        <v>217</v>
      </c>
      <c r="L51">
        <v>850</v>
      </c>
      <c r="M51">
        <v>1800</v>
      </c>
    </row>
    <row r="52" spans="1:15" ht="15.75" thickBot="1" x14ac:dyDescent="0.3">
      <c r="A52" s="305"/>
      <c r="B52" s="201"/>
      <c r="C52" s="464"/>
      <c r="D52" s="464"/>
      <c r="E52" s="202"/>
      <c r="F52" s="202"/>
      <c r="G52" s="203"/>
      <c r="H52" s="204"/>
      <c r="I52" s="305"/>
      <c r="J52" s="305"/>
      <c r="K52" s="249" t="s">
        <v>241</v>
      </c>
      <c r="L52">
        <v>850</v>
      </c>
    </row>
    <row r="53" spans="1:15" ht="16.5" thickTop="1" thickBot="1" x14ac:dyDescent="0.3">
      <c r="A53" s="305"/>
      <c r="B53" s="205" t="s">
        <v>307</v>
      </c>
      <c r="C53" s="206"/>
      <c r="D53" s="206"/>
      <c r="E53" s="207"/>
      <c r="F53" s="207"/>
      <c r="G53" s="465">
        <f>G49+G51</f>
        <v>0</v>
      </c>
      <c r="H53" s="466"/>
      <c r="I53" s="305"/>
      <c r="J53" s="305"/>
      <c r="K53" s="249" t="s">
        <v>242</v>
      </c>
      <c r="L53">
        <v>850</v>
      </c>
    </row>
    <row r="54" spans="1:15" ht="15.75" thickBot="1" x14ac:dyDescent="0.3">
      <c r="A54" s="305"/>
      <c r="B54" s="305"/>
      <c r="C54" s="305"/>
      <c r="D54" s="305"/>
      <c r="E54" s="305"/>
      <c r="F54" s="305"/>
      <c r="G54" s="305"/>
      <c r="H54" s="305"/>
      <c r="I54" s="305"/>
      <c r="J54" s="305"/>
      <c r="K54" s="249" t="s">
        <v>277</v>
      </c>
      <c r="L54">
        <v>5000</v>
      </c>
    </row>
    <row r="55" spans="1:15" ht="14.45" customHeight="1" thickBot="1" x14ac:dyDescent="0.3">
      <c r="A55" s="305"/>
      <c r="B55" s="467" t="s">
        <v>308</v>
      </c>
      <c r="C55" s="429"/>
      <c r="D55" s="429"/>
      <c r="E55" s="429"/>
      <c r="F55" s="429"/>
      <c r="G55" s="429"/>
      <c r="H55" s="429"/>
      <c r="I55" s="429"/>
      <c r="J55" s="430"/>
      <c r="K55" s="249" t="s">
        <v>244</v>
      </c>
      <c r="L55">
        <v>5000</v>
      </c>
    </row>
    <row r="56" spans="1:15" ht="15" customHeight="1" x14ac:dyDescent="0.25">
      <c r="A56" s="305"/>
      <c r="B56" s="468"/>
      <c r="C56" s="469" t="s">
        <v>326</v>
      </c>
      <c r="D56" s="470"/>
      <c r="E56" s="470"/>
      <c r="F56" s="471"/>
      <c r="G56" s="472" t="s">
        <v>364</v>
      </c>
      <c r="H56" s="473"/>
      <c r="I56" s="474" t="s">
        <v>311</v>
      </c>
      <c r="J56" s="477" t="s">
        <v>59</v>
      </c>
      <c r="K56" s="249" t="s">
        <v>245</v>
      </c>
      <c r="L56">
        <v>5000</v>
      </c>
    </row>
    <row r="57" spans="1:15" ht="14.45" customHeight="1" x14ac:dyDescent="0.25">
      <c r="A57" s="305"/>
      <c r="B57" s="468"/>
      <c r="C57" s="479" t="s">
        <v>309</v>
      </c>
      <c r="D57" s="480"/>
      <c r="E57" s="486" t="s">
        <v>310</v>
      </c>
      <c r="F57" s="480"/>
      <c r="G57" s="472"/>
      <c r="H57" s="473"/>
      <c r="I57" s="475"/>
      <c r="J57" s="478"/>
      <c r="K57" s="151"/>
    </row>
    <row r="58" spans="1:15" ht="15.75" thickBot="1" x14ac:dyDescent="0.3">
      <c r="A58" s="305"/>
      <c r="B58" s="173"/>
      <c r="C58" s="212" t="s">
        <v>103</v>
      </c>
      <c r="D58" s="212" t="s">
        <v>104</v>
      </c>
      <c r="E58" s="213" t="s">
        <v>103</v>
      </c>
      <c r="F58" s="212" t="s">
        <v>104</v>
      </c>
      <c r="G58" s="487"/>
      <c r="H58" s="488"/>
      <c r="I58" s="476"/>
      <c r="J58" s="215" t="s">
        <v>312</v>
      </c>
      <c r="K58" s="151"/>
    </row>
    <row r="59" spans="1:15" ht="19.899999999999999" customHeight="1" thickBot="1" x14ac:dyDescent="0.3">
      <c r="A59" s="305"/>
      <c r="B59" s="216" t="s">
        <v>325</v>
      </c>
      <c r="C59" s="217" t="e">
        <f>IF(TRL="2-3",IF(TransMedTech="Sans / Without TransMedTech",'TRL1-3'!C18,'iTMT TRL1-3'!C19),IF(TransMedTech="Sans TransMedTech",'TRL4-6'!C19,'iTMT TRL4-6'!C20))</f>
        <v>#DIV/0!</v>
      </c>
      <c r="D59" s="218" t="e">
        <f>C59/G53</f>
        <v>#DIV/0!</v>
      </c>
      <c r="E59" s="219">
        <f>IF(TRL="2-3",0,G51)</f>
        <v>0</v>
      </c>
      <c r="F59" s="220" t="e">
        <f>E59/G53</f>
        <v>#DIV/0!</v>
      </c>
      <c r="G59" s="489">
        <f>LOOKUP(Etablissement,Feuil1!D42:D64,Feuil1!E42:E64)</f>
        <v>0.27</v>
      </c>
      <c r="H59" s="490"/>
      <c r="I59" s="222"/>
      <c r="J59" s="223"/>
      <c r="K59" s="124" t="s">
        <v>60</v>
      </c>
      <c r="L59" s="125" t="s">
        <v>55</v>
      </c>
      <c r="M59" s="125" t="s">
        <v>61</v>
      </c>
      <c r="N59" s="127" t="s">
        <v>58</v>
      </c>
      <c r="O59" s="126" t="s">
        <v>112</v>
      </c>
    </row>
    <row r="60" spans="1:15" x14ac:dyDescent="0.25">
      <c r="A60" s="305"/>
      <c r="B60" s="250" t="str">
        <f>IF(E22="","",E22)</f>
        <v/>
      </c>
      <c r="C60" s="152">
        <f>'Budget de projet'!C60</f>
        <v>0</v>
      </c>
      <c r="D60" s="229" t="e">
        <f>C60/$G$53</f>
        <v>#DIV/0!</v>
      </c>
      <c r="E60" s="152">
        <f>'Budget de projet'!E60</f>
        <v>0</v>
      </c>
      <c r="F60" s="231" t="e">
        <f>E60/$G$53</f>
        <v>#DIV/0!</v>
      </c>
      <c r="G60" s="481">
        <f>C60*G$59</f>
        <v>0</v>
      </c>
      <c r="H60" s="481"/>
      <c r="I60" s="304">
        <f>IF(H10="Oui / Yes",0,
IF(AND(G10="Industrial Member",I10="Moins de deux ans d'activité"),350,0)+
IF(AND(G10="Industrial Member",I10="Moins de 5 M$"),850,0)+
IF(AND(G10="Industrial Member",I10="De 5 M$ à 10 M$"),1800,0)+
IF(AND(G10="Industrial Member",I10="De 10 M$ à 50 M$"),1800,0)+
IF(AND(G10="Industrial Member",I10="Plus de 50 M$"),4000,0)+
IF(AND(G10="Consulting firm",I10="Moins de deux ans d'activité"),4000,0)+
IF(AND(G10="Consulting firm",I10="Moins de 5 M$"),4000,0)+
IF(AND(G10="Consulting firm",I10="De 5 M$ à 10 M$"),4000,0)+
IF(AND(G10="Consulting firm",I10="De 10 M$ à 50 M$"),7500,0)+
IF(AND(G10="Consulting firm",I10="Plus de 50 M$"),7500,0)+
IF(G10="University",4000,0)+
IF(G10="CCTT",1800,0)+
IF(G10="Research Center", 4000,0)+
IF(G10="UHC",4000,0)+
IF(G10="CIUSSS",4000,0)+
IF(G10="CCTT",4000,0)+
IF(G10="Institut",4000,0)+
IF(G10="CISSS",1800,0)+
IF(AND(G10="Charitable organization",I10="Moins de deux ans d'activité"),850,0)+
IF(AND(G10="Charitable organization",I10="Moins de 5 M$"),850,0)+
IF(AND(G10="Charitable organization",I10="De 5 M$ à 10 M$"),1800,0)+
IF(AND(G10="Charitable organization",I10="De 10 M$ à 50 M$"),1800,0)+
IF(AND(G10="Charitable organization",I10="Plus de 50 M$"),1800,0)+
IF(AND(G10="Fondation",I10="Moins de deux ans d'activité"),850,0)+
IF(AND(G10="Fondation",I10="Moins de 5 M$"),850,0)+
IF(AND(G10="Fondation",I10="De 5 M$ à 10 M$"),1800,0)+
IF(AND(G10="Fondation",I10="De 10 M$ à 50 M$"),1800,0)+
IF(AND(G10="Fondation",I10="Plus de 50 M$"),1800,0)+
IF(G10="Interest group",850,0)+
IF(G10="Federation",850,0)+
IF(G10="Incubator / accelerator",5000,0)+
IF(G10="Technology transfer organization",5000,0)+
IF(G10="International Member",5000,0))</f>
        <v>0</v>
      </c>
      <c r="J60" s="233">
        <f>C60+G60+I60</f>
        <v>0</v>
      </c>
      <c r="K60" s="122" t="s">
        <v>62</v>
      </c>
      <c r="L60" s="123" t="s">
        <v>246</v>
      </c>
      <c r="M60" s="123" t="s">
        <v>237</v>
      </c>
      <c r="N60" s="128" t="s">
        <v>248</v>
      </c>
      <c r="O60" s="131" t="s">
        <v>250</v>
      </c>
    </row>
    <row r="61" spans="1:15" x14ac:dyDescent="0.25">
      <c r="A61" s="305"/>
      <c r="B61" s="250" t="str">
        <f>IF(E23="","",E23)</f>
        <v/>
      </c>
      <c r="C61" s="152">
        <f>'Budget de projet'!C61</f>
        <v>0</v>
      </c>
      <c r="D61" s="230" t="e">
        <f>C61/$G$53</f>
        <v>#DIV/0!</v>
      </c>
      <c r="E61" s="152">
        <f>'Budget de projet'!E61</f>
        <v>0</v>
      </c>
      <c r="F61" s="232" t="e">
        <f>E61/$G$53</f>
        <v>#DIV/0!</v>
      </c>
      <c r="G61" s="481">
        <f t="shared" ref="G61:G63" si="4">C61*G$59</f>
        <v>0</v>
      </c>
      <c r="H61" s="481"/>
      <c r="I61" s="304">
        <f>IF(H10="Oui / Yes",0,
IF(AND(G10="Industrial Member",I10="Moins de deux ans d'activité"),350,0)+
IF(AND(G10="Industrial Member",I10="Moins de 5 M$"),850,0)+
IF(AND(G10="Industrial Member",I10="De 5 M$ à 10 M$"),1800,0)+
IF(AND(G10="Industrial Member",I10="De 10 M$ à 50 M$"),1800,0)+
IF(AND(G10="Industrial Member",I10="Plus de 50 M$"),4000,0)+
IF(AND(G10="Consulting firm",I10="Moins de deux ans d'activité"),4000,0)+
IF(AND(G10="Consulting firm",I10="Moins de 5 M$"),4000,0)+
IF(AND(G10="Consulting firm",I10="De 5 M$ à 10 M$"),4000,0)+
IF(AND(G10="Consulting firm",I10="De 10 M$ à 50 M$"),7500,0)+
IF(AND(G10="Consulting firm",I10="Plus de 50 M$"),7500,0)+
IF(G10="University",4000,0)+
IF(G10="CCTT",1800,0)+
IF(G10="Research Center", 4000,0)+
IF(G10="UHC",4000,0)+
IF(G10="CIUSSS",4000,0)+
IF(G10="CCTT",4000,0)+
IF(G10="Institut",4000,0)+
IF(G10="CISSS",1800,0)+
IF(AND(G10="Charitable organization",I10="Moins de deux ans d'activité"),850,0)+
IF(AND(G10="Charitable organization",I10="Moins de 5 M$"),850,0)+
IF(AND(G10="Charitable organization",I10="De 5 M$ à 10 M$"),1800,0)+
IF(AND(G10="Charitable organization",I10="De 10 M$ à 50 M$"),1800,0)+
IF(AND(G10="Charitable organization",I10="Plus de 50 M$"),1800,0)+
IF(AND(G10="Fondation",I10="Moins de deux ans d'activité"),850,0)+
IF(AND(G10="Fondation",I10="Moins de 5 M$"),850,0)+
IF(AND(G10="Fondation",I10="De 5 M$ à 10 M$"),1800,0)+
IF(AND(G10="Fondation",I10="De 10 M$ à 50 M$"),1800,0)+
IF(AND(G10="Fondation",I10="Plus de 50 M$"),1800,0)+
IF(G10="Interest group",850,0)+
IF(G10="Federation",850,0)+
IF(G10="Incubator / accelerator",5000,0)+
IF(G10="Technology transfer organization",5000,0)+
IF(G10="International Member",5000,0))</f>
        <v>0</v>
      </c>
      <c r="J61" s="233">
        <f>C61+G61+I61</f>
        <v>0</v>
      </c>
      <c r="K61" s="121" t="s">
        <v>63</v>
      </c>
      <c r="L61" s="1" t="s">
        <v>247</v>
      </c>
      <c r="M61" s="1" t="s">
        <v>236</v>
      </c>
      <c r="N61" s="129" t="s">
        <v>249</v>
      </c>
      <c r="O61" s="130" t="s">
        <v>251</v>
      </c>
    </row>
    <row r="62" spans="1:15" x14ac:dyDescent="0.25">
      <c r="A62" s="305"/>
      <c r="B62" s="250" t="str">
        <f>IF(E24="","",E24)</f>
        <v/>
      </c>
      <c r="C62" s="152">
        <f>'Budget de projet'!C62</f>
        <v>0</v>
      </c>
      <c r="D62" s="230" t="e">
        <f>C62/$G$53</f>
        <v>#DIV/0!</v>
      </c>
      <c r="E62" s="152">
        <f>'Budget de projet'!E62</f>
        <v>0</v>
      </c>
      <c r="F62" s="232" t="e">
        <f>E62/$G$53</f>
        <v>#DIV/0!</v>
      </c>
      <c r="G62" s="481">
        <f t="shared" si="4"/>
        <v>0</v>
      </c>
      <c r="H62" s="481"/>
      <c r="I62" s="304">
        <f>IF(H10="Oui / Yes",0,
IF(AND(G10="Industrial Member",I10="Moins de deux ans d'activité"),350,0)+
IF(AND(G10="Industrial Member",I10="Moins de 5 M$"),850,0)+
IF(AND(G10="Industrial Member",I10="De 5 M$ à 10 M$"),1800,0)+
IF(AND(G10="Industrial Member",I10="De 10 M$ à 50 M$"),1800,0)+
IF(AND(G10="Industrial Member",I10="Plus de 50 M$"),4000,0)+
IF(AND(G10="Consulting firm",I10="Moins de deux ans d'activité"),4000,0)+
IF(AND(G10="Consulting firm",I10="Moins de 5 M$"),4000,0)+
IF(AND(G10="Consulting firm",I10="De 5 M$ à 10 M$"),4000,0)+
IF(AND(G10="Consulting firm",I10="De 10 M$ à 50 M$"),7500,0)+
IF(AND(G10="Consulting firm",I10="Plus de 50 M$"),7500,0)+
IF(G10="University",4000,0)+
IF(G10="CCTT",1800,0)+
IF(G10="Research Center", 4000,0)+
IF(G10="UHC",4000,0)+
IF(G10="CIUSSS",4000,0)+
IF(G10="CCTT",4000,0)+
IF(G10="Institut",4000,0)+
IF(G10="CISSS",1800,0)+
IF(AND(G10="Charitable organization",I10="Moins de deux ans d'activité"),850,0)+
IF(AND(G10="Charitable organization",I10="Moins de 5 M$"),850,0)+
IF(AND(G10="Charitable organization",I10="De 5 M$ à 10 M$"),1800,0)+
IF(AND(G10="Charitable organization",I10="De 10 M$ à 50 M$"),1800,0)+
IF(AND(G10="Charitable organization",I10="Plus de 50 M$"),1800,0)+
IF(AND(G10="Fondation",I10="Moins de deux ans d'activité"),850,0)+
IF(AND(G10="Fondation",I10="Moins de 5 M$"),850,0)+
IF(AND(G10="Fondation",I10="De 5 M$ à 10 M$"),1800,0)+
IF(AND(G10="Fondation",I10="De 10 M$ à 50 M$"),1800,0)+
IF(AND(G10="Fondation",I10="Plus de 50 M$"),1800,0)+
IF(G10="Interest group",850,0)+
IF(G10="Federation",850,0)+
IF(G10="Incubator / accelerator",5000,0)+
IF(G10="Technology transfer organization",5000,0)+
IF(G10="International Member",5000,0))</f>
        <v>0</v>
      </c>
      <c r="J62" s="233">
        <f>C62+G62+I62</f>
        <v>0</v>
      </c>
      <c r="K62" s="1" t="s">
        <v>227</v>
      </c>
      <c r="L62" s="1" t="s">
        <v>227</v>
      </c>
      <c r="M62" s="1" t="s">
        <v>227</v>
      </c>
      <c r="N62" s="129" t="s">
        <v>227</v>
      </c>
      <c r="O62" s="130" t="s">
        <v>252</v>
      </c>
    </row>
    <row r="63" spans="1:15" ht="15.75" thickBot="1" x14ac:dyDescent="0.3">
      <c r="A63" s="305"/>
      <c r="B63" s="250" t="str">
        <f>IF(E25="","",E25)</f>
        <v/>
      </c>
      <c r="C63" s="152">
        <f>'Budget de projet'!C63</f>
        <v>0</v>
      </c>
      <c r="D63" s="230" t="e">
        <f>C63/$G$53</f>
        <v>#DIV/0!</v>
      </c>
      <c r="E63" s="152">
        <f>'Budget de projet'!E63</f>
        <v>0</v>
      </c>
      <c r="F63" s="232" t="e">
        <f>E63/$G$53</f>
        <v>#DIV/0!</v>
      </c>
      <c r="G63" s="481">
        <f t="shared" si="4"/>
        <v>0</v>
      </c>
      <c r="H63" s="481"/>
      <c r="I63" s="304">
        <f>IF(H10="Oui / Yes",0,
IF(AND(G10="Industrial Member",I10="Moins de deux ans d'activité"),350,0)+
IF(AND(G10="Industrial Member",I10="Moins de 5 M$"),850,0)+
IF(AND(G10="Industrial Member",I10="De 5 M$ à 10 M$"),1800,0)+
IF(AND(G10="Industrial Member",I10="De 10 M$ à 50 M$"),1800,0)+
IF(AND(G10="Industrial Member",I10="Plus de 50 M$"),4000,0)+
IF(AND(G10="Consulting firm",I10="Moins de deux ans d'activité"),4000,0)+
IF(AND(G10="Consulting firm",I10="Moins de 5 M$"),4000,0)+
IF(AND(G10="Consulting firm",I10="De 5 M$ à 10 M$"),4000,0)+
IF(AND(G10="Consulting firm",I10="De 10 M$ à 50 M$"),7500,0)+
IF(AND(G10="Consulting firm",I10="Plus de 50 M$"),7500,0)+
IF(G10="University",4000,0)+
IF(G10="CCTT",1800,0)+
IF(G10="Research Center", 4000,0)+
IF(G10="UHC",4000,0)+
IF(G10="CIUSSS",4000,0)+
IF(G10="CCTT",4000,0)+
IF(G10="Institut",4000,0)+
IF(G10="CISSS",1800,0)+
IF(AND(G10="Charitable organization",I10="Moins de deux ans d'activité"),850,0)+
IF(AND(G10="Charitable organization",I10="Moins de 5 M$"),850,0)+
IF(AND(G10="Charitable organization",I10="De 5 M$ à 10 M$"),1800,0)+
IF(AND(G10="Charitable organization",I10="De 10 M$ à 50 M$"),1800,0)+
IF(AND(G10="Charitable organization",I10="Plus de 50 M$"),1800,0)+
IF(AND(G10="Fondation",I10="Moins de deux ans d'activité"),850,0)+
IF(AND(G10="Fondation",I10="Moins de 5 M$"),850,0)+
IF(AND(G10="Fondation",I10="De 5 M$ à 10 M$"),1800,0)+
IF(AND(G10="Fondation",I10="De 10 M$ à 50 M$"),1800,0)+
IF(AND(G10="Fondation",I10="Plus de 50 M$"),1800,0)+
IF(G10="Interest group",850,0)+
IF(G10="Federation",850,0)+
IF(G10="Incubator / accelerator",5000,0)+
IF(G10="Technology transfer organization",5000,0)+
IF(G10="International Member",5000,0))</f>
        <v>0</v>
      </c>
      <c r="J63" s="262">
        <f>C63+G63+I63</f>
        <v>0</v>
      </c>
      <c r="K63" s="146"/>
      <c r="L63" s="146"/>
      <c r="M63" s="146"/>
      <c r="N63" s="146"/>
      <c r="O63" s="130" t="s">
        <v>253</v>
      </c>
    </row>
    <row r="64" spans="1:15" ht="16.5" thickTop="1" thickBot="1" x14ac:dyDescent="0.3">
      <c r="A64" s="305"/>
      <c r="B64" s="251" t="s">
        <v>313</v>
      </c>
      <c r="C64" s="156" t="e">
        <f>ROUND(C59,0)-ROUND(SUM(C60:C63),0)</f>
        <v>#DIV/0!</v>
      </c>
      <c r="D64" s="350" t="e">
        <f>ROUND(D59,2)-ROUND(SUM(D60:D63),2)</f>
        <v>#DIV/0!</v>
      </c>
      <c r="E64" s="156">
        <f t="shared" ref="E64" si="5">ROUND(E59,0)-ROUND(SUM(E60:E63),0)</f>
        <v>0</v>
      </c>
      <c r="F64" s="234" t="e">
        <f>ROUND(F59,2)-ROUND(SUM(F60:F63),2)</f>
        <v>#DIV/0!</v>
      </c>
      <c r="G64" s="268"/>
      <c r="H64" s="268"/>
      <c r="I64" s="268"/>
      <c r="J64" s="310"/>
      <c r="O64" s="130" t="s">
        <v>254</v>
      </c>
    </row>
    <row r="65" spans="1:15" ht="15.75" thickBot="1" x14ac:dyDescent="0.3">
      <c r="A65" s="305"/>
      <c r="B65" s="263"/>
      <c r="C65" s="534" t="e">
        <f>IF(AND(C64&gt;0,E64&gt;0),"INSUFFICIENT IN-CASH AND IN-KIND CONTRIBUTION",IF(C64&gt;0,"INSUFFICIENT IN-CASH CONTRIBUTION",IF(E64&gt;0,"INSUFFICIENT IN-KIND CONTRIBUTION","OK")))</f>
        <v>#DIV/0!</v>
      </c>
      <c r="D65" s="535"/>
      <c r="E65" s="535"/>
      <c r="F65" s="536"/>
      <c r="G65" s="269"/>
      <c r="H65" s="269"/>
      <c r="I65" s="269"/>
      <c r="J65" s="311"/>
      <c r="O65" s="129" t="s">
        <v>227</v>
      </c>
    </row>
    <row r="66" spans="1:15" x14ac:dyDescent="0.25">
      <c r="A66" s="305"/>
      <c r="B66" s="264"/>
      <c r="C66" s="267"/>
      <c r="D66" s="267"/>
      <c r="E66" s="267"/>
      <c r="F66" s="267"/>
      <c r="G66" s="270"/>
      <c r="H66" s="270"/>
      <c r="I66" s="270"/>
      <c r="J66" s="312"/>
      <c r="K66" s="151"/>
    </row>
    <row r="67" spans="1:15" ht="15" customHeight="1" x14ac:dyDescent="0.25">
      <c r="A67" s="305"/>
      <c r="B67" s="265"/>
      <c r="C67" s="485" t="s">
        <v>363</v>
      </c>
      <c r="D67" s="485"/>
      <c r="E67" s="485"/>
      <c r="F67" s="485"/>
      <c r="G67" s="271"/>
      <c r="H67" s="272"/>
      <c r="I67" s="268"/>
      <c r="J67" s="312"/>
      <c r="K67" s="151"/>
    </row>
    <row r="68" spans="1:15" ht="14.45" customHeight="1" x14ac:dyDescent="0.25">
      <c r="A68" s="305"/>
      <c r="B68" s="265"/>
      <c r="C68" s="479" t="s">
        <v>309</v>
      </c>
      <c r="D68" s="480"/>
      <c r="E68" s="479" t="s">
        <v>310</v>
      </c>
      <c r="F68" s="480"/>
      <c r="G68" s="472" t="s">
        <v>364</v>
      </c>
      <c r="H68" s="473"/>
      <c r="I68" s="258" t="s">
        <v>59</v>
      </c>
      <c r="J68" s="312"/>
      <c r="K68" s="151"/>
    </row>
    <row r="69" spans="1:15" x14ac:dyDescent="0.25">
      <c r="A69" s="305"/>
      <c r="B69" s="266"/>
      <c r="C69" s="224" t="str">
        <f>IF(TRL="2-3",IF(TransMedTech="Sans TransMedTech",'TRL1-3'!C52,'iTMT TRL1-3'!C52),IF(TransMedTech="Sans TransMedTech",'TRL4-6'!C54,'iTMT TRL4-6'!C53))</f>
        <v>$$$</v>
      </c>
      <c r="D69" s="224" t="str">
        <f>IF(TRL="2-3",IF(TransMedTech="Sans TransMedTech",'TRL1-3'!D52,'iTMT TRL1-3'!D52),IF(TransMedTech="Sans TransMedTech",'TRL4-6'!D54,'iTMT TRL4-6'!D53))</f>
        <v>%</v>
      </c>
      <c r="E69" s="224" t="str">
        <f>IF(TRL="2-3",IF(TransMedTech="Sans TransMedTech",'TRL1-3'!E52,'iTMT TRL1-3'!E52),IF(TransMedTech="Sans TransMedTech",'TRL4-6'!E54,'iTMT TRL4-6'!E53))</f>
        <v>$$$</v>
      </c>
      <c r="F69" s="224" t="str">
        <f>IF(TRL="2-3",IF(TransMedTech="Sans TransMedTech",'TRL1-3'!F52,'iTMT TRL1-3'!F52),IF(TransMedTech="Sans TransMedTech",'TRL4-6'!F54,'iTMT TRL4-6'!F53))</f>
        <v>%</v>
      </c>
      <c r="G69" s="504">
        <f>LOOKUP(Etablissement,Feuil1!D42:D64,Feuil1!E42:E64)</f>
        <v>0.27</v>
      </c>
      <c r="H69" s="505"/>
      <c r="I69" s="259"/>
      <c r="J69" s="312"/>
      <c r="K69" s="151"/>
    </row>
    <row r="70" spans="1:15" x14ac:dyDescent="0.25">
      <c r="A70" s="305"/>
      <c r="B70" s="252" t="s">
        <v>1</v>
      </c>
      <c r="C70" s="225" t="e">
        <f>IF(TRL="2-3",IF(TransMedTech="Sans / Without TransMedTech",'TRL1-3'!C16,'iTMT TRL1-3'!C16),IF(TransMedTech="Sans TransMedTech",'TRL4-6'!C17,'iTMT TRL4-6'!C17))</f>
        <v>#DIV/0!</v>
      </c>
      <c r="D70" s="226" t="e">
        <f>C70/G53</f>
        <v>#DIV/0!</v>
      </c>
      <c r="E70" s="227" t="s">
        <v>92</v>
      </c>
      <c r="F70" s="228" t="s">
        <v>92</v>
      </c>
      <c r="G70" s="506" t="s">
        <v>92</v>
      </c>
      <c r="H70" s="507"/>
      <c r="I70" s="260" t="e">
        <f>SUM(C70,E70,G70)</f>
        <v>#DIV/0!</v>
      </c>
      <c r="J70" s="312"/>
      <c r="K70" s="151"/>
    </row>
    <row r="71" spans="1:15" x14ac:dyDescent="0.25">
      <c r="A71" s="305"/>
      <c r="B71" s="252" t="s">
        <v>314</v>
      </c>
      <c r="C71" s="225" t="e">
        <f>IF(TRL="2-3",IF(TransMedTech="Sans / Without TransMedTech",'TRL1-3'!C17,'iTMT TRL1-3'!C17),IF(TransMedTech="Sans TransMedTech",'TRL4-6'!C18,'iTMT TRL4-6'!C18))</f>
        <v>#DIV/0!</v>
      </c>
      <c r="D71" s="226" t="e">
        <f>C71/G53</f>
        <v>#DIV/0!</v>
      </c>
      <c r="E71" s="227" t="s">
        <v>92</v>
      </c>
      <c r="F71" s="228" t="s">
        <v>92</v>
      </c>
      <c r="G71" s="506" t="s">
        <v>92</v>
      </c>
      <c r="H71" s="507"/>
      <c r="I71" s="260" t="e">
        <f>SUM(C71,E71,G71)</f>
        <v>#DIV/0!</v>
      </c>
      <c r="J71" s="312"/>
      <c r="K71" s="151"/>
    </row>
    <row r="72" spans="1:15" x14ac:dyDescent="0.25">
      <c r="A72" s="305"/>
      <c r="B72" s="252" t="s">
        <v>41</v>
      </c>
      <c r="C72" s="225">
        <f>IF(TRL="2-3",IF(TransMedTech="Sans / Without TransMedTech",'TRL1-3'!C15,'iTMT TRL1-3'!C15),IF(TransMedTech="Sans TransMedTech",'TRL4-6'!C16,'iTMT TRL4-6'!C16))</f>
        <v>0</v>
      </c>
      <c r="D72" s="226" t="e">
        <f>C72/G53</f>
        <v>#DIV/0!</v>
      </c>
      <c r="E72" s="227" t="s">
        <v>92</v>
      </c>
      <c r="F72" s="228" t="s">
        <v>92</v>
      </c>
      <c r="G72" s="508" t="e">
        <f>SUM(G30,G31,G34,G35,G39)*D72*G69</f>
        <v>#DIV/0!</v>
      </c>
      <c r="H72" s="509"/>
      <c r="I72" s="260" t="e">
        <f>SUM(C72,E72,G72)</f>
        <v>#DIV/0!</v>
      </c>
      <c r="J72" s="312"/>
      <c r="K72" s="151"/>
    </row>
    <row r="73" spans="1:15" x14ac:dyDescent="0.25">
      <c r="A73" s="305"/>
      <c r="B73" s="252" t="str">
        <f>IF(TransMedTech="Sans / Without TransMedTech","","TransMedTech Institute")</f>
        <v>TransMedTech Institute</v>
      </c>
      <c r="C73" s="225">
        <f>IF(TRL="2-3",IF(TransMedTech="Sans / Without TransMedTech","",'iTMT TRL1-3'!C18),IF(TransMedTech="Sans / Without TransMedTech","",'iTMT TRL4-6'!C19))</f>
        <v>0</v>
      </c>
      <c r="D73" s="226" t="e">
        <f>IF(TransMedTech="Sans / Without TransMedTech","",C73/G53)</f>
        <v>#DIV/0!</v>
      </c>
      <c r="E73" s="227" t="str">
        <f>IF(TransMedTech="Sans / Without TransMedTech","","N/A")</f>
        <v>N/A</v>
      </c>
      <c r="F73" s="235" t="str">
        <f>IF(TransMedTech="Sans / Without TransMedTech","","N/A")</f>
        <v>N/A</v>
      </c>
      <c r="G73" s="506" t="str">
        <f>IF(TransMedTech="Sans / Without TransMedTech","","N/A")</f>
        <v>N/A</v>
      </c>
      <c r="H73" s="507"/>
      <c r="I73" s="260">
        <f>IF(TransMedTech="Sans / Without TransMedTech","",SUM(C73,E73,G73))</f>
        <v>0</v>
      </c>
      <c r="J73" s="312"/>
      <c r="K73" s="151"/>
    </row>
    <row r="74" spans="1:15" ht="15.75" thickBot="1" x14ac:dyDescent="0.3">
      <c r="A74" s="305"/>
      <c r="B74" s="253" t="s">
        <v>315</v>
      </c>
      <c r="C74" s="254" t="e">
        <f>SUM(C70:C73)</f>
        <v>#DIV/0!</v>
      </c>
      <c r="D74" s="255" t="e">
        <f>SUM(D70:D73)</f>
        <v>#DIV/0!</v>
      </c>
      <c r="E74" s="256">
        <f>SUM(E70:E72)</f>
        <v>0</v>
      </c>
      <c r="F74" s="257">
        <v>0</v>
      </c>
      <c r="G74" s="510" t="s">
        <v>92</v>
      </c>
      <c r="H74" s="511"/>
      <c r="I74" s="261" t="e">
        <f>SUM(I70:I72)</f>
        <v>#DIV/0!</v>
      </c>
      <c r="J74" s="312"/>
      <c r="K74" s="151"/>
    </row>
    <row r="75" spans="1:15" x14ac:dyDescent="0.25">
      <c r="A75" s="305"/>
      <c r="B75" s="305"/>
      <c r="C75" s="305"/>
      <c r="D75" s="305"/>
      <c r="E75" s="305"/>
      <c r="F75" s="305"/>
      <c r="G75" s="305"/>
      <c r="H75" s="305"/>
      <c r="I75" s="305"/>
      <c r="J75" s="305"/>
      <c r="K75" s="151"/>
    </row>
    <row r="76" spans="1:15" ht="15.75" thickBot="1" x14ac:dyDescent="0.3">
      <c r="A76" s="305"/>
      <c r="B76" s="305"/>
      <c r="C76" s="305"/>
      <c r="D76" s="305"/>
      <c r="E76" s="305"/>
      <c r="F76" s="305"/>
      <c r="G76" s="305"/>
      <c r="H76" s="305"/>
      <c r="I76" s="305"/>
      <c r="J76" s="305"/>
    </row>
    <row r="77" spans="1:15" ht="14.45" customHeight="1" x14ac:dyDescent="0.25">
      <c r="A77" s="305"/>
      <c r="B77" s="491" t="s">
        <v>316</v>
      </c>
      <c r="C77" s="492"/>
      <c r="D77" s="492"/>
      <c r="E77" s="492"/>
      <c r="F77" s="492"/>
      <c r="G77" s="492"/>
      <c r="H77" s="493"/>
      <c r="I77" s="305"/>
      <c r="J77" s="305"/>
    </row>
    <row r="78" spans="1:15" ht="15" customHeight="1" thickBot="1" x14ac:dyDescent="0.3">
      <c r="A78" s="305"/>
      <c r="B78" s="494"/>
      <c r="C78" s="495"/>
      <c r="D78" s="495"/>
      <c r="E78" s="495"/>
      <c r="F78" s="495"/>
      <c r="G78" s="495"/>
      <c r="H78" s="496"/>
      <c r="I78" s="305"/>
      <c r="J78" s="305"/>
    </row>
    <row r="79" spans="1:15" ht="15.75" thickBot="1" x14ac:dyDescent="0.3">
      <c r="A79" s="305"/>
      <c r="B79" s="305"/>
      <c r="C79" s="305"/>
      <c r="D79" s="305"/>
      <c r="E79" s="305"/>
      <c r="F79" s="305"/>
      <c r="G79" s="305"/>
      <c r="H79" s="305"/>
      <c r="I79" s="305"/>
      <c r="J79" s="305"/>
    </row>
    <row r="80" spans="1:15" ht="16.5" thickBot="1" x14ac:dyDescent="0.3">
      <c r="A80" s="305"/>
      <c r="B80" s="537" t="s">
        <v>317</v>
      </c>
      <c r="C80" s="538"/>
      <c r="D80" s="538"/>
      <c r="E80" s="538"/>
      <c r="F80" s="538"/>
      <c r="G80" s="538"/>
      <c r="H80" s="539"/>
      <c r="I80" s="305"/>
      <c r="J80" s="305"/>
    </row>
    <row r="81" spans="1:10" x14ac:dyDescent="0.25">
      <c r="A81" s="305"/>
      <c r="B81" s="286" t="s">
        <v>318</v>
      </c>
      <c r="C81" s="500">
        <f>C24</f>
        <v>0</v>
      </c>
      <c r="D81" s="501"/>
      <c r="E81" s="149"/>
      <c r="F81" s="149"/>
      <c r="G81" s="149"/>
      <c r="H81" s="150"/>
      <c r="I81" s="305"/>
      <c r="J81" s="305"/>
    </row>
    <row r="82" spans="1:10" x14ac:dyDescent="0.25">
      <c r="A82" s="305"/>
      <c r="B82" s="285" t="s">
        <v>367</v>
      </c>
      <c r="C82" s="502" t="str">
        <f>IF(C25="","",C25)</f>
        <v/>
      </c>
      <c r="D82" s="503"/>
      <c r="E82" s="149"/>
      <c r="F82" s="149"/>
      <c r="G82" s="149"/>
      <c r="H82" s="150"/>
      <c r="I82" s="305"/>
      <c r="J82" s="305"/>
    </row>
    <row r="83" spans="1:10" x14ac:dyDescent="0.25">
      <c r="A83" s="305"/>
      <c r="B83" s="285" t="s">
        <v>366</v>
      </c>
      <c r="C83" s="502" t="str">
        <f>Etablissement</f>
        <v>Sélectionnez / Select</v>
      </c>
      <c r="D83" s="503"/>
      <c r="E83" s="149"/>
      <c r="F83" s="149"/>
      <c r="G83" s="149"/>
      <c r="H83" s="150"/>
      <c r="I83" s="305"/>
      <c r="J83" s="305"/>
    </row>
    <row r="84" spans="1:10" x14ac:dyDescent="0.25">
      <c r="A84" s="305"/>
      <c r="B84" s="285" t="s">
        <v>365</v>
      </c>
      <c r="C84" s="502" t="e">
        <f>IF(#REF!="Sélectionnez","",#REF!)</f>
        <v>#REF!</v>
      </c>
      <c r="D84" s="503"/>
      <c r="E84" s="149"/>
      <c r="F84" s="149"/>
      <c r="G84" s="149"/>
      <c r="H84" s="150"/>
      <c r="I84" s="305"/>
      <c r="J84" s="305"/>
    </row>
    <row r="85" spans="1:10" x14ac:dyDescent="0.25">
      <c r="A85" s="305"/>
      <c r="B85" s="285" t="s">
        <v>60</v>
      </c>
      <c r="C85" s="502" t="str">
        <f>IF(TRL="Sélectionnez","",TRL)</f>
        <v>Sélectionnez / Select</v>
      </c>
      <c r="D85" s="503"/>
      <c r="E85" s="149"/>
      <c r="F85" s="149"/>
      <c r="G85" s="149"/>
      <c r="H85" s="150"/>
      <c r="I85" s="305"/>
      <c r="J85" s="305"/>
    </row>
    <row r="86" spans="1:10" ht="45.75" thickBot="1" x14ac:dyDescent="0.3">
      <c r="A86" s="305"/>
      <c r="B86" s="364" t="s">
        <v>348</v>
      </c>
      <c r="C86" s="516">
        <f>G53</f>
        <v>0</v>
      </c>
      <c r="D86" s="517"/>
      <c r="E86" s="149"/>
      <c r="F86" s="149"/>
      <c r="G86" s="149"/>
      <c r="H86" s="150"/>
      <c r="I86" s="305"/>
      <c r="J86" s="305"/>
    </row>
    <row r="87" spans="1:10" x14ac:dyDescent="0.25">
      <c r="A87" s="305"/>
      <c r="B87" s="518" t="s">
        <v>319</v>
      </c>
      <c r="C87" s="521" t="str">
        <f>"- "&amp;B60</f>
        <v xml:space="preserve">- </v>
      </c>
      <c r="D87" s="522"/>
      <c r="E87" s="149"/>
      <c r="F87" s="149"/>
      <c r="G87" s="149"/>
      <c r="H87" s="150"/>
      <c r="I87" s="305"/>
      <c r="J87" s="305"/>
    </row>
    <row r="88" spans="1:10" x14ac:dyDescent="0.25">
      <c r="A88" s="305"/>
      <c r="B88" s="519"/>
      <c r="C88" s="523" t="str">
        <f t="shared" ref="C88:C90" si="6">"- "&amp;B61</f>
        <v xml:space="preserve">- </v>
      </c>
      <c r="D88" s="524"/>
      <c r="E88" s="149"/>
      <c r="F88" s="149"/>
      <c r="G88" s="149"/>
      <c r="H88" s="150"/>
      <c r="I88" s="305"/>
      <c r="J88" s="305"/>
    </row>
    <row r="89" spans="1:10" x14ac:dyDescent="0.25">
      <c r="A89" s="305"/>
      <c r="B89" s="519"/>
      <c r="C89" s="523" t="str">
        <f t="shared" si="6"/>
        <v xml:space="preserve">- </v>
      </c>
      <c r="D89" s="524"/>
      <c r="E89" s="149"/>
      <c r="F89" s="149"/>
      <c r="G89" s="149"/>
      <c r="H89" s="150"/>
      <c r="I89" s="305"/>
      <c r="J89" s="305"/>
    </row>
    <row r="90" spans="1:10" ht="15.75" thickBot="1" x14ac:dyDescent="0.3">
      <c r="A90" s="305"/>
      <c r="B90" s="520"/>
      <c r="C90" s="525" t="str">
        <f t="shared" si="6"/>
        <v xml:space="preserve">- </v>
      </c>
      <c r="D90" s="526"/>
      <c r="E90" s="149"/>
      <c r="F90" s="149"/>
      <c r="G90" s="149"/>
      <c r="H90" s="150"/>
      <c r="I90" s="305"/>
      <c r="J90" s="305"/>
    </row>
    <row r="91" spans="1:10" ht="16.5" thickBot="1" x14ac:dyDescent="0.3">
      <c r="A91" s="305"/>
      <c r="B91" s="537" t="s">
        <v>323</v>
      </c>
      <c r="C91" s="538"/>
      <c r="D91" s="538"/>
      <c r="E91" s="538"/>
      <c r="F91" s="538"/>
      <c r="G91" s="538"/>
      <c r="H91" s="539"/>
      <c r="I91" s="305"/>
      <c r="J91" s="305"/>
    </row>
    <row r="92" spans="1:10" x14ac:dyDescent="0.25">
      <c r="A92" s="305"/>
      <c r="B92" s="245" t="s">
        <v>320</v>
      </c>
      <c r="C92" s="243" t="s">
        <v>321</v>
      </c>
      <c r="D92" s="247" t="s">
        <v>104</v>
      </c>
      <c r="E92" s="147"/>
      <c r="F92" s="147"/>
      <c r="G92" s="147"/>
      <c r="H92" s="148"/>
      <c r="I92" s="305"/>
      <c r="J92" s="305"/>
    </row>
    <row r="93" spans="1:10" x14ac:dyDescent="0.25">
      <c r="A93" s="305"/>
      <c r="B93" s="287" t="s">
        <v>110</v>
      </c>
      <c r="C93" s="288" t="e">
        <f>C59+E59</f>
        <v>#DIV/0!</v>
      </c>
      <c r="D93" s="297" t="e">
        <f>D59+F59</f>
        <v>#DIV/0!</v>
      </c>
      <c r="E93" s="157"/>
      <c r="F93" s="157"/>
      <c r="G93" s="157"/>
      <c r="H93" s="158"/>
      <c r="I93" s="305"/>
      <c r="J93" s="305"/>
    </row>
    <row r="94" spans="1:10" x14ac:dyDescent="0.25">
      <c r="A94" s="305"/>
      <c r="B94" s="289" t="str">
        <f t="shared" ref="B94:D97" si="7">B70</f>
        <v>Oncopole</v>
      </c>
      <c r="C94" s="290" t="e">
        <f t="shared" si="7"/>
        <v>#DIV/0!</v>
      </c>
      <c r="D94" s="298" t="e">
        <f t="shared" si="7"/>
        <v>#DIV/0!</v>
      </c>
      <c r="E94" s="149"/>
      <c r="F94" s="149"/>
      <c r="G94" s="149"/>
      <c r="H94" s="150"/>
      <c r="I94" s="305"/>
      <c r="J94" s="305"/>
    </row>
    <row r="95" spans="1:10" x14ac:dyDescent="0.25">
      <c r="A95" s="305"/>
      <c r="B95" s="289" t="str">
        <f t="shared" si="7"/>
        <v>CRS</v>
      </c>
      <c r="C95" s="290" t="e">
        <f t="shared" si="7"/>
        <v>#DIV/0!</v>
      </c>
      <c r="D95" s="298" t="e">
        <f t="shared" si="7"/>
        <v>#DIV/0!</v>
      </c>
      <c r="E95" s="149"/>
      <c r="F95" s="149"/>
      <c r="G95" s="149"/>
      <c r="H95" s="150"/>
      <c r="I95" s="305"/>
      <c r="J95" s="305"/>
    </row>
    <row r="96" spans="1:10" x14ac:dyDescent="0.25">
      <c r="A96" s="305"/>
      <c r="B96" s="289" t="str">
        <f t="shared" si="7"/>
        <v>MEDTEQ</v>
      </c>
      <c r="C96" s="290">
        <f t="shared" si="7"/>
        <v>0</v>
      </c>
      <c r="D96" s="298" t="e">
        <f t="shared" si="7"/>
        <v>#DIV/0!</v>
      </c>
      <c r="E96" s="149"/>
      <c r="F96" s="149"/>
      <c r="G96" s="149"/>
      <c r="H96" s="150"/>
      <c r="I96" s="305"/>
      <c r="J96" s="305"/>
    </row>
    <row r="97" spans="1:10" ht="15.75" thickBot="1" x14ac:dyDescent="0.3">
      <c r="A97" s="305"/>
      <c r="B97" s="299" t="str">
        <f t="shared" si="7"/>
        <v>TransMedTech Institute</v>
      </c>
      <c r="C97" s="300">
        <f t="shared" si="7"/>
        <v>0</v>
      </c>
      <c r="D97" s="301" t="e">
        <f t="shared" si="7"/>
        <v>#DIV/0!</v>
      </c>
      <c r="E97" s="149"/>
      <c r="F97" s="149"/>
      <c r="G97" s="149"/>
      <c r="H97" s="150"/>
      <c r="I97" s="305"/>
      <c r="J97" s="305"/>
    </row>
    <row r="98" spans="1:10" ht="16.5" thickBot="1" x14ac:dyDescent="0.3">
      <c r="A98" s="305"/>
      <c r="B98" s="537" t="s">
        <v>332</v>
      </c>
      <c r="C98" s="538"/>
      <c r="D98" s="538"/>
      <c r="E98" s="538"/>
      <c r="F98" s="538"/>
      <c r="G98" s="538"/>
      <c r="H98" s="539"/>
      <c r="I98" s="305"/>
      <c r="J98" s="305"/>
    </row>
    <row r="99" spans="1:10" x14ac:dyDescent="0.25">
      <c r="A99" s="305"/>
      <c r="B99" s="245" t="s">
        <v>226</v>
      </c>
      <c r="C99" s="242" t="s">
        <v>369</v>
      </c>
      <c r="D99" s="242" t="s">
        <v>322</v>
      </c>
      <c r="E99" s="242" t="s">
        <v>368</v>
      </c>
      <c r="F99" s="513" t="s">
        <v>311</v>
      </c>
      <c r="G99" s="514"/>
      <c r="H99" s="248" t="s">
        <v>153</v>
      </c>
      <c r="I99" s="305"/>
      <c r="J99" s="305"/>
    </row>
    <row r="100" spans="1:10" x14ac:dyDescent="0.25">
      <c r="A100" s="305"/>
      <c r="B100" s="291" t="str">
        <f>B60</f>
        <v/>
      </c>
      <c r="C100" s="290" t="e">
        <f>C60-D100</f>
        <v>#DIV/0!</v>
      </c>
      <c r="D100" s="288" t="e">
        <f>$G47*(FIR_Ind/D59)</f>
        <v>#DIV/0!</v>
      </c>
      <c r="E100" s="290">
        <f>G60</f>
        <v>0</v>
      </c>
      <c r="F100" s="515">
        <f>I60</f>
        <v>0</v>
      </c>
      <c r="G100" s="515"/>
      <c r="H100" s="292" t="e">
        <f>SUM(C100:G100)</f>
        <v>#DIV/0!</v>
      </c>
      <c r="I100" s="305"/>
      <c r="J100" s="305"/>
    </row>
    <row r="101" spans="1:10" x14ac:dyDescent="0.25">
      <c r="A101" s="305"/>
      <c r="B101" s="291" t="str">
        <f>B61</f>
        <v/>
      </c>
      <c r="C101" s="290" t="e">
        <f t="shared" ref="C101:C103" si="8">C61-D101</f>
        <v>#DIV/0!</v>
      </c>
      <c r="D101" s="288" t="e">
        <f>G47*D61/D59</f>
        <v>#DIV/0!</v>
      </c>
      <c r="E101" s="290">
        <f>G61</f>
        <v>0</v>
      </c>
      <c r="F101" s="515">
        <f t="shared" ref="F101:F103" si="9">I61</f>
        <v>0</v>
      </c>
      <c r="G101" s="515"/>
      <c r="H101" s="292" t="e">
        <f t="shared" ref="H101:H103" si="10">SUM(C101:G101)</f>
        <v>#DIV/0!</v>
      </c>
      <c r="I101" s="305"/>
      <c r="J101" s="305"/>
    </row>
    <row r="102" spans="1:10" x14ac:dyDescent="0.25">
      <c r="A102" s="305"/>
      <c r="B102" s="291" t="str">
        <f>B62</f>
        <v/>
      </c>
      <c r="C102" s="290" t="e">
        <f t="shared" si="8"/>
        <v>#DIV/0!</v>
      </c>
      <c r="D102" s="288" t="e">
        <f>$G47*(D62/D59)</f>
        <v>#DIV/0!</v>
      </c>
      <c r="E102" s="290">
        <f t="shared" ref="E102:E103" si="11">G62</f>
        <v>0</v>
      </c>
      <c r="F102" s="515">
        <f t="shared" si="9"/>
        <v>0</v>
      </c>
      <c r="G102" s="515"/>
      <c r="H102" s="292" t="e">
        <f t="shared" si="10"/>
        <v>#DIV/0!</v>
      </c>
      <c r="I102" s="305"/>
      <c r="J102" s="305"/>
    </row>
    <row r="103" spans="1:10" ht="15.75" thickBot="1" x14ac:dyDescent="0.3">
      <c r="A103" s="305"/>
      <c r="B103" s="293" t="str">
        <f>B63</f>
        <v/>
      </c>
      <c r="C103" s="295" t="e">
        <f t="shared" si="8"/>
        <v>#DIV/0!</v>
      </c>
      <c r="D103" s="294" t="e">
        <f>$G47*(D63/D59)</f>
        <v>#DIV/0!</v>
      </c>
      <c r="E103" s="295">
        <f t="shared" si="11"/>
        <v>0</v>
      </c>
      <c r="F103" s="512">
        <f t="shared" si="9"/>
        <v>0</v>
      </c>
      <c r="G103" s="512"/>
      <c r="H103" s="296" t="e">
        <f t="shared" si="10"/>
        <v>#DIV/0!</v>
      </c>
      <c r="I103" s="305"/>
      <c r="J103" s="305"/>
    </row>
    <row r="104" spans="1:10" x14ac:dyDescent="0.25">
      <c r="A104" s="305"/>
      <c r="B104" s="305"/>
      <c r="C104" s="305"/>
      <c r="D104" s="305"/>
      <c r="E104" s="305"/>
      <c r="F104" s="305"/>
      <c r="G104" s="305"/>
      <c r="H104" s="305"/>
      <c r="I104" s="305"/>
      <c r="J104" s="305"/>
    </row>
    <row r="105" spans="1:10" x14ac:dyDescent="0.25">
      <c r="A105" s="305"/>
      <c r="B105" s="305"/>
      <c r="C105" s="305"/>
      <c r="D105" s="305"/>
      <c r="E105" s="305"/>
      <c r="F105" s="305"/>
      <c r="G105" s="305"/>
      <c r="H105" s="305"/>
      <c r="I105" s="305"/>
      <c r="J105" s="305"/>
    </row>
    <row r="106" spans="1:10" x14ac:dyDescent="0.25">
      <c r="A106" s="305"/>
      <c r="B106" s="305"/>
      <c r="C106" s="305"/>
      <c r="D106" s="305"/>
      <c r="E106" s="305"/>
      <c r="F106" s="305"/>
      <c r="G106" s="305"/>
      <c r="H106" s="305"/>
      <c r="I106" s="305"/>
      <c r="J106" s="305"/>
    </row>
    <row r="107" spans="1:10" x14ac:dyDescent="0.25">
      <c r="A107" s="305"/>
      <c r="B107" s="305"/>
      <c r="C107" s="305"/>
      <c r="D107" s="305"/>
      <c r="E107" s="305"/>
      <c r="F107" s="305"/>
      <c r="G107" s="305"/>
      <c r="H107" s="305"/>
      <c r="I107" s="305"/>
      <c r="J107" s="305"/>
    </row>
    <row r="108" spans="1:10" x14ac:dyDescent="0.25">
      <c r="A108" s="305"/>
    </row>
  </sheetData>
  <protectedRanges>
    <protectedRange sqref="C60:C63 E60:E63" name="Coût des industriels"/>
    <protectedRange sqref="H34:H36 H38:H40 H42 G51 H30:H32 C30:F32 C34:F36 C38:F40 C42:F42" name="Budget de recherche"/>
    <protectedRange sqref="E22:I25" name="Info industriels"/>
    <protectedRange sqref="C20:C25" name="Info projet"/>
  </protectedRanges>
  <mergeCells count="123">
    <mergeCell ref="F103:G103"/>
    <mergeCell ref="B91:H91"/>
    <mergeCell ref="B98:H98"/>
    <mergeCell ref="F99:G99"/>
    <mergeCell ref="F100:G100"/>
    <mergeCell ref="F101:G101"/>
    <mergeCell ref="F102:G102"/>
    <mergeCell ref="C85:D85"/>
    <mergeCell ref="C86:D86"/>
    <mergeCell ref="B87:B90"/>
    <mergeCell ref="C87:D87"/>
    <mergeCell ref="C88:D88"/>
    <mergeCell ref="C89:D89"/>
    <mergeCell ref="C90:D90"/>
    <mergeCell ref="B77:H78"/>
    <mergeCell ref="B80:H80"/>
    <mergeCell ref="C81:D81"/>
    <mergeCell ref="C82:D82"/>
    <mergeCell ref="C83:D83"/>
    <mergeCell ref="C84:D84"/>
    <mergeCell ref="G69:H69"/>
    <mergeCell ref="G70:H70"/>
    <mergeCell ref="G71:H71"/>
    <mergeCell ref="G72:H72"/>
    <mergeCell ref="G73:H73"/>
    <mergeCell ref="G74:H74"/>
    <mergeCell ref="G63:H63"/>
    <mergeCell ref="C65:F65"/>
    <mergeCell ref="C67:F67"/>
    <mergeCell ref="C68:D68"/>
    <mergeCell ref="E68:F68"/>
    <mergeCell ref="G68:H68"/>
    <mergeCell ref="E57:F57"/>
    <mergeCell ref="G58:H58"/>
    <mergeCell ref="G59:H59"/>
    <mergeCell ref="G60:H60"/>
    <mergeCell ref="G61:H61"/>
    <mergeCell ref="G62:H62"/>
    <mergeCell ref="G51:H51"/>
    <mergeCell ref="C52:D52"/>
    <mergeCell ref="G53:H53"/>
    <mergeCell ref="B55:J55"/>
    <mergeCell ref="B56:B57"/>
    <mergeCell ref="C56:F56"/>
    <mergeCell ref="G56:H57"/>
    <mergeCell ref="I56:I58"/>
    <mergeCell ref="J56:J57"/>
    <mergeCell ref="C57:D57"/>
    <mergeCell ref="C47:D47"/>
    <mergeCell ref="E47:F47"/>
    <mergeCell ref="G47:H47"/>
    <mergeCell ref="C49:D49"/>
    <mergeCell ref="E49:F49"/>
    <mergeCell ref="G49:H49"/>
    <mergeCell ref="C45:D45"/>
    <mergeCell ref="E45:F45"/>
    <mergeCell ref="G45:H45"/>
    <mergeCell ref="C46:D46"/>
    <mergeCell ref="E46:F46"/>
    <mergeCell ref="G46:H46"/>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E25:F25"/>
    <mergeCell ref="B27:H27"/>
    <mergeCell ref="C28:D28"/>
    <mergeCell ref="E28:F28"/>
    <mergeCell ref="G28:H28"/>
    <mergeCell ref="C29:D29"/>
    <mergeCell ref="E29:F29"/>
    <mergeCell ref="G29:H29"/>
    <mergeCell ref="L13:M13"/>
    <mergeCell ref="B19:C19"/>
    <mergeCell ref="E20:I20"/>
    <mergeCell ref="E21:F21"/>
    <mergeCell ref="E22:F22"/>
    <mergeCell ref="E23:F23"/>
    <mergeCell ref="E24:F24"/>
    <mergeCell ref="B11:I11"/>
    <mergeCell ref="B12:I12"/>
    <mergeCell ref="B13:I13"/>
    <mergeCell ref="B14:I14"/>
    <mergeCell ref="B15:I15"/>
    <mergeCell ref="B16:I16"/>
  </mergeCells>
  <conditionalFormatting sqref="C30:C32 E30:E32">
    <cfRule type="containsBlanks" dxfId="47" priority="23">
      <formula>LEN(TRIM(C30))=0</formula>
    </cfRule>
  </conditionalFormatting>
  <conditionalFormatting sqref="C34:C36 E34:E36">
    <cfRule type="containsBlanks" dxfId="46" priority="20">
      <formula>LEN(TRIM(C34))=0</formula>
    </cfRule>
  </conditionalFormatting>
  <conditionalFormatting sqref="C38:C40 E38:E40">
    <cfRule type="containsBlanks" dxfId="45" priority="19">
      <formula>LEN(TRIM(C38))=0</formula>
    </cfRule>
  </conditionalFormatting>
  <conditionalFormatting sqref="C42 E42">
    <cfRule type="containsBlanks" dxfId="44" priority="17">
      <formula>LEN(TRIM(C42))=0</formula>
    </cfRule>
  </conditionalFormatting>
  <conditionalFormatting sqref="C25 C20:C23">
    <cfRule type="cellIs" dxfId="43" priority="16" operator="equal">
      <formula>"Sélectionnez"</formula>
    </cfRule>
  </conditionalFormatting>
  <conditionalFormatting sqref="B65">
    <cfRule type="expression" dxfId="42" priority="15">
      <formula>$D$38=Mitacs</formula>
    </cfRule>
  </conditionalFormatting>
  <conditionalFormatting sqref="C65">
    <cfRule type="cellIs" dxfId="41" priority="9" operator="equal">
      <formula>"OK"</formula>
    </cfRule>
  </conditionalFormatting>
  <conditionalFormatting sqref="G22:I25">
    <cfRule type="cellIs" dxfId="40" priority="13" operator="equal">
      <formula>"Sélectionnez"</formula>
    </cfRule>
  </conditionalFormatting>
  <conditionalFormatting sqref="C64:F64">
    <cfRule type="cellIs" dxfId="39" priority="10" operator="lessThan">
      <formula>0</formula>
    </cfRule>
    <cfRule type="cellIs" dxfId="38" priority="11" operator="greaterThan">
      <formula>0</formula>
    </cfRule>
    <cfRule type="cellIs" dxfId="37" priority="12" operator="equal">
      <formula>0</formula>
    </cfRule>
  </conditionalFormatting>
  <conditionalFormatting sqref="C24:C25">
    <cfRule type="cellIs" dxfId="36" priority="5" operator="equal">
      <formula>""</formula>
    </cfRule>
    <cfRule type="cellIs" dxfId="35" priority="8" operator="equal">
      <formula>"Entrer le nom"</formula>
    </cfRule>
  </conditionalFormatting>
  <conditionalFormatting sqref="C65:F65">
    <cfRule type="cellIs" dxfId="34" priority="7" operator="equal">
      <formula>"""CONTRIBUTION EN ESPÈCE ET EN NATURE INSUFFISANTE"</formula>
    </cfRule>
  </conditionalFormatting>
  <conditionalFormatting sqref="C24">
    <cfRule type="cellIs" dxfId="33" priority="6" operator="equal">
      <formula>"Sélectionnez"</formula>
    </cfRule>
  </conditionalFormatting>
  <conditionalFormatting sqref="G22:I25 C20:C25">
    <cfRule type="cellIs" dxfId="32" priority="3" operator="equal">
      <formula>"Select"</formula>
    </cfRule>
  </conditionalFormatting>
  <conditionalFormatting sqref="B73:I73">
    <cfRule type="cellIs" dxfId="31" priority="1" operator="equal">
      <formula>""</formula>
    </cfRule>
  </conditionalFormatting>
  <conditionalFormatting sqref="G51">
    <cfRule type="cellIs" dxfId="30" priority="71" operator="lessThanOrEqual">
      <formula>IF($C$21="2-3",0,0.25*$G$49)</formula>
    </cfRule>
    <cfRule type="cellIs" dxfId="29" priority="72" operator="greaterThan">
      <formula>IF($C$21="2-3",0,$G$49*0.25)</formula>
    </cfRule>
  </conditionalFormatting>
  <dataValidations count="7">
    <dataValidation type="whole" allowBlank="1" showInputMessage="1" showErrorMessage="1" error="Les montants doivent être des nombres entiers" sqref="C29:G43">
      <formula1>0</formula1>
      <formula2>99999999999</formula2>
    </dataValidation>
    <dataValidation type="list" allowBlank="1" showInputMessage="1" showErrorMessage="1" sqref="C20">
      <formula1>"FRA,ENG"</formula1>
    </dataValidation>
    <dataValidation type="list" allowBlank="1" showInputMessage="1" showErrorMessage="1" sqref="G22:G25">
      <formula1>$K$40:$K$56</formula1>
    </dataValidation>
    <dataValidation type="list" allowBlank="1" showInputMessage="1" showErrorMessage="1" sqref="C22">
      <formula1>$L$60:$L$62</formula1>
    </dataValidation>
    <dataValidation type="list" allowBlank="1" showInputMessage="1" showErrorMessage="1" sqref="C23">
      <formula1>$K$15:$K$36</formula1>
    </dataValidation>
    <dataValidation type="list" allowBlank="1" showInputMessage="1" showErrorMessage="1" sqref="H22:H25">
      <formula1>$N$60:$N$62</formula1>
    </dataValidation>
    <dataValidation type="list" allowBlank="1" showInputMessage="1" showErrorMessage="1" sqref="I22:I25">
      <formula1>$O$60:$O$65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Feuil1!$G$31:$G$33</xm:f>
          </x14:formula1>
          <xm:sqref>C21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28"/>
  <sheetViews>
    <sheetView tabSelected="1" topLeftCell="A76" zoomScaleNormal="100" workbookViewId="0">
      <selection activeCell="B8" sqref="B8"/>
    </sheetView>
  </sheetViews>
  <sheetFormatPr baseColWidth="10" defaultColWidth="9.140625" defaultRowHeight="15" x14ac:dyDescent="0.25"/>
  <cols>
    <col min="2" max="2" width="41.7109375" customWidth="1"/>
    <col min="3" max="3" width="26.7109375" customWidth="1"/>
    <col min="4" max="4" width="19.28515625" customWidth="1"/>
    <col min="5" max="5" width="28.140625" customWidth="1"/>
    <col min="6" max="6" width="11.7109375" customWidth="1"/>
    <col min="7" max="7" width="32.140625" customWidth="1"/>
    <col min="8" max="8" width="21.28515625" customWidth="1"/>
    <col min="9" max="9" width="23.42578125" customWidth="1"/>
    <col min="10" max="10" width="33.85546875" customWidth="1"/>
    <col min="11" max="11" width="10.7109375" customWidth="1"/>
    <col min="12" max="12" width="11.28515625" bestFit="1" customWidth="1"/>
  </cols>
  <sheetData>
    <row r="1" spans="1:10" x14ac:dyDescent="0.25">
      <c r="A1" s="305"/>
      <c r="B1" s="305"/>
      <c r="C1" s="305"/>
      <c r="D1" s="305"/>
      <c r="E1" s="305"/>
      <c r="F1" s="305"/>
      <c r="G1" s="305"/>
      <c r="H1" s="305"/>
      <c r="I1" s="305"/>
      <c r="J1" s="305"/>
    </row>
    <row r="2" spans="1:10" x14ac:dyDescent="0.25">
      <c r="A2" s="305"/>
      <c r="B2" s="305"/>
      <c r="C2" s="305"/>
      <c r="E2" s="305"/>
      <c r="F2" s="305"/>
      <c r="G2" s="305"/>
      <c r="H2" s="305"/>
      <c r="I2" s="305"/>
      <c r="J2" s="305"/>
    </row>
    <row r="3" spans="1:10" x14ac:dyDescent="0.25">
      <c r="A3" s="305"/>
      <c r="B3" s="305"/>
      <c r="C3" s="305"/>
      <c r="D3" s="305"/>
      <c r="E3" s="305"/>
      <c r="F3" s="305"/>
      <c r="G3" s="305"/>
      <c r="H3" s="305"/>
      <c r="I3" s="305"/>
      <c r="J3" s="305"/>
    </row>
    <row r="4" spans="1:10" x14ac:dyDescent="0.25">
      <c r="A4" s="305"/>
      <c r="B4" s="305"/>
      <c r="C4" s="305"/>
      <c r="D4" s="305"/>
      <c r="E4" s="305"/>
      <c r="F4" s="305"/>
      <c r="G4" s="305"/>
      <c r="H4" s="305"/>
      <c r="I4" s="305"/>
      <c r="J4" s="305"/>
    </row>
    <row r="5" spans="1:10" x14ac:dyDescent="0.25">
      <c r="A5" s="305"/>
      <c r="B5" s="305"/>
      <c r="D5" s="305"/>
      <c r="E5" s="305"/>
      <c r="F5" s="305"/>
      <c r="G5" s="305"/>
      <c r="H5" s="305"/>
      <c r="I5" s="305"/>
      <c r="J5" s="305"/>
    </row>
    <row r="6" spans="1:10" x14ac:dyDescent="0.25">
      <c r="A6" s="305"/>
      <c r="B6" s="305"/>
      <c r="C6" s="305"/>
      <c r="E6" s="305"/>
      <c r="F6" s="305"/>
      <c r="G6" s="305"/>
      <c r="H6" s="305"/>
      <c r="I6" s="305"/>
      <c r="J6" s="305"/>
    </row>
    <row r="7" spans="1:10" x14ac:dyDescent="0.25">
      <c r="A7" s="305"/>
      <c r="B7" s="305"/>
      <c r="C7" s="305"/>
      <c r="D7" s="305"/>
      <c r="E7" s="305"/>
      <c r="F7" s="305"/>
      <c r="G7" s="305"/>
      <c r="H7" s="305"/>
      <c r="I7" s="305"/>
      <c r="J7" s="305"/>
    </row>
    <row r="8" spans="1:10" ht="36" x14ac:dyDescent="0.55000000000000004">
      <c r="A8" s="305"/>
      <c r="B8" s="305"/>
      <c r="C8" s="305"/>
      <c r="D8" s="307" t="str">
        <f>IF(C20="FRA",FRA!D8,ENG!D8)</f>
        <v>Concours Onco-Tech</v>
      </c>
      <c r="E8" s="305"/>
      <c r="F8" s="305"/>
      <c r="G8" s="305"/>
      <c r="H8" s="305"/>
      <c r="I8" s="305"/>
      <c r="J8" s="305"/>
    </row>
    <row r="9" spans="1:10" x14ac:dyDescent="0.25">
      <c r="A9" s="305"/>
      <c r="B9" s="305"/>
      <c r="C9" s="305"/>
      <c r="D9" s="305"/>
      <c r="E9" s="305"/>
      <c r="F9" s="305"/>
      <c r="G9" s="305"/>
      <c r="H9" s="305"/>
      <c r="I9" s="305"/>
      <c r="J9" s="305"/>
    </row>
    <row r="10" spans="1:10" x14ac:dyDescent="0.25">
      <c r="A10" s="305"/>
      <c r="B10" s="306" t="str">
        <f>IF(C20="FRA",FRA!B10,ENG!B10)</f>
        <v>Instructions</v>
      </c>
      <c r="C10" s="305"/>
      <c r="D10" s="305"/>
      <c r="E10" s="305"/>
      <c r="F10" s="305"/>
      <c r="G10" s="305"/>
      <c r="H10" s="305"/>
      <c r="I10" s="305"/>
      <c r="J10" s="305"/>
    </row>
    <row r="11" spans="1:10" x14ac:dyDescent="0.25">
      <c r="A11" s="305"/>
      <c r="B11" s="551" t="str">
        <f>IF($C$20="FRA",FRA!B11,ENG!B11)</f>
        <v>1- Remplir le tableau ''1. Informations sur le projet''.</v>
      </c>
      <c r="C11" s="551"/>
      <c r="D11" s="551"/>
      <c r="E11" s="551"/>
      <c r="F11" s="551"/>
      <c r="G11" s="551"/>
      <c r="H11" s="551"/>
      <c r="I11" s="551"/>
      <c r="J11" s="305"/>
    </row>
    <row r="12" spans="1:10" ht="25.5" customHeight="1" x14ac:dyDescent="0.25">
      <c r="A12" s="305"/>
      <c r="B12" s="551" t="str">
        <f>IF($C$20="FRA",FRA!B12,ENG!B12)</f>
        <v>2- Entrer le nom de l'industrie partenaire dans le tableau ''2.Partenaires au projet'', et compléter les informations sur la ou les organisation(s) (listes déroulantes des cases à droite).</v>
      </c>
      <c r="C12" s="551"/>
      <c r="D12" s="551"/>
      <c r="E12" s="551"/>
      <c r="F12" s="551"/>
      <c r="G12" s="551"/>
      <c r="H12" s="551"/>
      <c r="I12" s="551"/>
      <c r="J12" s="305"/>
    </row>
    <row r="13" spans="1:10" ht="80.25" customHeight="1" x14ac:dyDescent="0.25">
      <c r="A13" s="305"/>
      <c r="B13" s="550" t="str">
        <f>IF($C$20="FRA",FRA!B13,ENG!B13)</f>
        <v xml:space="preserve">3- Incrire les dépenses liées au projet dans les postes budgétaires correspondants, dans le cases jaunes du tableau ''3. Budget de Recherche Détaillé''. Prendre note que pour les projets de NMT 4-5, une contribution en nature de la part des partenaires industriels est requise.  Celle ci sera calculée automatiquement et indiquée à la ligne B51. 
Veuillez indiquer à la case G51, puis à la case E60 le montant équivalent à la contribution en nature industriel rèel (égal ou inférieur au montant maximal admissible suggéré à la ligne B51). La case devient rouge si le montant excède la limite de 20% du budget de projet total. 
</v>
      </c>
      <c r="C13" s="550"/>
      <c r="D13" s="550"/>
      <c r="E13" s="550"/>
      <c r="F13" s="550"/>
      <c r="G13" s="550"/>
      <c r="H13" s="550"/>
      <c r="I13" s="550"/>
      <c r="J13" s="305"/>
    </row>
    <row r="14" spans="1:10" ht="29.45" customHeight="1" x14ac:dyDescent="0.25">
      <c r="A14" s="305"/>
      <c r="B14" s="552" t="str">
        <f>IF($C$20="FRA",FRA!B14,ENG!B14)</f>
        <v>4-  Inscrire le montant de la contribution industrielle réel en espèces et en nature nécessaire des industriels respectivement aux cases C60 et E60. Un "OK" en vert indique que le montage financier est équilibré.</v>
      </c>
      <c r="C14" s="552"/>
      <c r="D14" s="552"/>
      <c r="E14" s="552"/>
      <c r="F14" s="552"/>
      <c r="G14" s="552"/>
      <c r="H14" s="552"/>
      <c r="I14" s="552"/>
      <c r="J14" s="305"/>
    </row>
    <row r="15" spans="1:10" ht="15" customHeight="1" x14ac:dyDescent="0.25">
      <c r="A15" s="305"/>
      <c r="B15" s="551" t="str">
        <f>IF($C$20="FRA",FRA!B15,ENG!B15)</f>
        <v>5- Le tableau ''5. Sommaire'' est généré automatiquement et récapitule les données de montage financier liées au projet.</v>
      </c>
      <c r="C15" s="551"/>
      <c r="D15" s="551"/>
      <c r="E15" s="551"/>
      <c r="F15" s="551"/>
      <c r="G15" s="551"/>
      <c r="H15" s="551"/>
      <c r="I15" s="551"/>
      <c r="J15" s="305"/>
    </row>
    <row r="16" spans="1:10" ht="58.15" customHeight="1" x14ac:dyDescent="0.25">
      <c r="A16" s="305"/>
      <c r="B16" s="553" t="str">
        <f>IF($C$20="FRA",FRA!B16,ENG!B16)</f>
        <v xml:space="preserve">6- SOUMISSION DU BUDGET  : Veuillez soumettre le présent fichier sous format EXCEL et PDF (1 page) avec votre demande complète.  Pour générer le PDF d'une page à joindre à l'application complète, veuillez vous diriger vers la page sommaire générée dans l'onglet Excel "PrintSheet"(voir au bas de ce classeur Excel). Veuillez l'imprimer/''enregistrer sous'' la page en format PDF en utilisant la fonction ''Fit Sheet to One Page''. Pour toute question, veuillez contacter : Djazia.Liamini@medteq.ca 
</v>
      </c>
      <c r="C16" s="553"/>
      <c r="D16" s="553"/>
      <c r="E16" s="553"/>
      <c r="F16" s="553"/>
      <c r="G16" s="553"/>
      <c r="H16" s="553"/>
      <c r="I16" s="553"/>
      <c r="J16" s="305"/>
    </row>
    <row r="17" spans="1:11" x14ac:dyDescent="0.25">
      <c r="A17" s="305"/>
      <c r="B17" s="551" t="str">
        <f>IF($C$20="FRA",FRA!B17,ENG!B17)</f>
        <v>** Les abréviations se retrouvent en bas de la page</v>
      </c>
      <c r="C17" s="551"/>
      <c r="D17" s="551"/>
      <c r="E17" s="551"/>
      <c r="F17" s="551"/>
      <c r="G17" s="551"/>
      <c r="H17" s="551"/>
      <c r="I17" s="551"/>
      <c r="J17" s="305"/>
    </row>
    <row r="18" spans="1:11" ht="15.75" thickBot="1" x14ac:dyDescent="0.3">
      <c r="A18" s="305"/>
      <c r="B18" s="305"/>
      <c r="C18" s="305"/>
      <c r="D18" s="305"/>
      <c r="E18" s="305"/>
      <c r="F18" s="305"/>
      <c r="G18" s="305"/>
      <c r="H18" s="305"/>
      <c r="I18" s="305"/>
      <c r="J18" s="305"/>
    </row>
    <row r="19" spans="1:11" ht="15.75" thickBot="1" x14ac:dyDescent="0.3">
      <c r="A19" s="305"/>
      <c r="B19" s="411" t="str">
        <f>IF(C20="FRA",FRA!B19,ENG!B19)</f>
        <v>1. INFORMATIONS SUR LE PROJET</v>
      </c>
      <c r="C19" s="412"/>
      <c r="D19" s="305"/>
      <c r="E19" s="305"/>
      <c r="F19" s="305"/>
      <c r="G19" s="305"/>
      <c r="H19" s="305"/>
      <c r="I19" s="305"/>
      <c r="J19" s="305"/>
    </row>
    <row r="20" spans="1:11" ht="15.75" thickBot="1" x14ac:dyDescent="0.3">
      <c r="A20" s="305"/>
      <c r="B20" s="275" t="str">
        <f>IF(C20="FRA",FRA!B20,ENG!B20)</f>
        <v>Langue</v>
      </c>
      <c r="C20" s="276" t="s">
        <v>343</v>
      </c>
      <c r="D20" s="305"/>
      <c r="E20" s="413" t="str">
        <f>IF(C20="FRA",FRA!E20,ENG!E20)</f>
        <v>2. PARTENAIRES AU PROJET</v>
      </c>
      <c r="F20" s="414"/>
      <c r="G20" s="414"/>
      <c r="H20" s="414"/>
      <c r="I20" s="415"/>
      <c r="J20" s="305"/>
    </row>
    <row r="21" spans="1:11" x14ac:dyDescent="0.25">
      <c r="A21" s="305"/>
      <c r="B21" s="275" t="str">
        <f>IF(C20="FRA",FRA!B21,ENG!B21)</f>
        <v>NMT (TRL) de projet</v>
      </c>
      <c r="C21" s="276" t="s">
        <v>256</v>
      </c>
      <c r="D21" s="305"/>
      <c r="E21" s="416" t="str">
        <f>IF(C20="FRA",FRA!E21,ENG!E21)</f>
        <v>Industriels/partenaire privés</v>
      </c>
      <c r="F21" s="417"/>
      <c r="G21" s="283" t="str">
        <f>IF($C$20="FRA",FRA!G21,ENG!G21)</f>
        <v>Type d'organisation</v>
      </c>
      <c r="H21" s="174" t="str">
        <f>IF(C20="FRA",FRA!H21,ENG!H21)</f>
        <v>Membre MEDTEQ?</v>
      </c>
      <c r="I21" s="175" t="str">
        <f>IF(C20="FRA",FRA!I21,ENG!I21)</f>
        <v xml:space="preserve">Catégorie </v>
      </c>
      <c r="J21" s="305"/>
      <c r="K21" s="151"/>
    </row>
    <row r="22" spans="1:11" x14ac:dyDescent="0.25">
      <c r="A22" s="305"/>
      <c r="B22" s="275" t="str">
        <f>IF(C20="FRA",FRA!B22,ENG!B22)</f>
        <v>Institut TransMedTech</v>
      </c>
      <c r="C22" s="316" t="s">
        <v>256</v>
      </c>
      <c r="D22" s="305"/>
      <c r="E22" s="418"/>
      <c r="F22" s="419"/>
      <c r="G22" s="314" t="s">
        <v>256</v>
      </c>
      <c r="H22" s="315" t="s">
        <v>256</v>
      </c>
      <c r="I22" s="316" t="s">
        <v>256</v>
      </c>
      <c r="J22" s="305"/>
      <c r="K22" s="151"/>
    </row>
    <row r="23" spans="1:11" x14ac:dyDescent="0.25">
      <c r="A23" s="305"/>
      <c r="B23" s="275" t="str">
        <f>IF(C20="FRA",FRA!B23,ENG!B23)</f>
        <v>Établissement de recherche (1)</v>
      </c>
      <c r="C23" s="348" t="s">
        <v>256</v>
      </c>
      <c r="D23" s="305"/>
      <c r="E23" s="418"/>
      <c r="F23" s="419"/>
      <c r="G23" s="314" t="s">
        <v>256</v>
      </c>
      <c r="H23" s="315" t="s">
        <v>256</v>
      </c>
      <c r="I23" s="316" t="s">
        <v>256</v>
      </c>
      <c r="J23" s="305"/>
      <c r="K23" s="151"/>
    </row>
    <row r="24" spans="1:11" x14ac:dyDescent="0.25">
      <c r="A24" s="305"/>
      <c r="B24" s="275" t="str">
        <f>IF(C20="FRA",FRA!B24,ENG!B24)</f>
        <v>Prénom, nom du chercheur principal (1)</v>
      </c>
      <c r="C24" s="348"/>
      <c r="D24" s="305"/>
      <c r="E24" s="418"/>
      <c r="F24" s="419"/>
      <c r="G24" s="314" t="s">
        <v>256</v>
      </c>
      <c r="H24" s="315" t="s">
        <v>256</v>
      </c>
      <c r="I24" s="316" t="s">
        <v>256</v>
      </c>
      <c r="J24" s="308"/>
      <c r="K24" s="159"/>
    </row>
    <row r="25" spans="1:11" ht="15.75" thickBot="1" x14ac:dyDescent="0.3">
      <c r="A25" s="305"/>
      <c r="B25" s="181" t="str">
        <f>IF(C20="FRA",FRA!B25,ENG!B25)</f>
        <v>Prénom, nom du chercheur principal (2)</v>
      </c>
      <c r="C25" s="349"/>
      <c r="D25" s="305"/>
      <c r="E25" s="532"/>
      <c r="F25" s="533"/>
      <c r="G25" s="317" t="s">
        <v>256</v>
      </c>
      <c r="H25" s="318" t="s">
        <v>256</v>
      </c>
      <c r="I25" s="317" t="s">
        <v>256</v>
      </c>
      <c r="J25" s="308"/>
      <c r="K25" s="159"/>
    </row>
    <row r="26" spans="1:11" ht="15.75" thickBot="1" x14ac:dyDescent="0.3">
      <c r="A26" s="305"/>
      <c r="B26" s="305"/>
      <c r="C26" s="305"/>
      <c r="D26" s="305"/>
      <c r="E26" s="305"/>
      <c r="F26" s="305"/>
      <c r="G26" s="305"/>
      <c r="H26" s="305"/>
      <c r="I26" s="305"/>
      <c r="J26" s="305"/>
    </row>
    <row r="27" spans="1:11" ht="24" thickBot="1" x14ac:dyDescent="0.3">
      <c r="A27" s="305"/>
      <c r="B27" s="428" t="str">
        <f>IF(C20="FRA",FRA!B27,ENG!B27)</f>
        <v>3. BUDGET DE RECHERCHE DÉTAILLÉ</v>
      </c>
      <c r="C27" s="429"/>
      <c r="D27" s="429"/>
      <c r="E27" s="429"/>
      <c r="F27" s="429"/>
      <c r="G27" s="430"/>
      <c r="H27" s="334"/>
      <c r="I27" s="309"/>
      <c r="J27" s="305"/>
    </row>
    <row r="28" spans="1:11" ht="15.75" thickBot="1" x14ac:dyDescent="0.3">
      <c r="A28" s="305"/>
      <c r="B28" s="210" t="str">
        <f>IF(C20="FRA",FRA!B28,ENG!B28)</f>
        <v>ANNÉE</v>
      </c>
      <c r="C28" s="431">
        <f>IF(C20="FRA",FRA!C28,ENG!C28)</f>
        <v>1</v>
      </c>
      <c r="D28" s="432">
        <f>IF(E19="FRA",FRA!D28,ENG!D28)</f>
        <v>0</v>
      </c>
      <c r="E28" s="431">
        <f>IF(C20="FRA",FRA!E28,ENG!E28)</f>
        <v>2</v>
      </c>
      <c r="F28" s="432">
        <f>IF(G19="FRA",FRA!F28,ENG!F28)</f>
        <v>0</v>
      </c>
      <c r="G28" s="335" t="str">
        <f>IF(C20="FRA",FRA!G28,ENG!G28)</f>
        <v>TOTAL</v>
      </c>
      <c r="H28" s="305"/>
      <c r="I28" s="305"/>
      <c r="J28" s="305"/>
    </row>
    <row r="29" spans="1:11" x14ac:dyDescent="0.25">
      <c r="A29" s="305"/>
      <c r="B29" s="183" t="str">
        <f>IF(C20="FRA",FRA!B29,ENG!B29)</f>
        <v>PERSONNEL</v>
      </c>
      <c r="C29" s="434">
        <f>SUM(C30:C32)</f>
        <v>0</v>
      </c>
      <c r="D29" s="435"/>
      <c r="E29" s="434">
        <f>SUM(E30:E32)</f>
        <v>0</v>
      </c>
      <c r="F29" s="435"/>
      <c r="G29" s="336">
        <f>SUM(C29:F29)</f>
        <v>0</v>
      </c>
      <c r="H29" s="305"/>
      <c r="I29" s="305"/>
      <c r="J29" s="305"/>
    </row>
    <row r="30" spans="1:11" x14ac:dyDescent="0.25">
      <c r="A30" s="305"/>
      <c r="B30" s="188" t="str">
        <f>IF(C20="FRA",FRA!B30,ENG!B30)</f>
        <v>- Étudiant(s)</v>
      </c>
      <c r="C30" s="424"/>
      <c r="D30" s="425"/>
      <c r="E30" s="424"/>
      <c r="F30" s="425"/>
      <c r="G30" s="337">
        <f>SUM(C30:F30)</f>
        <v>0</v>
      </c>
      <c r="H30" s="305"/>
      <c r="I30" s="305"/>
      <c r="J30" s="305"/>
    </row>
    <row r="31" spans="1:11" x14ac:dyDescent="0.25">
      <c r="A31" s="305"/>
      <c r="B31" s="188" t="str">
        <f>IF(C20="FRA",FRA!B31,ENG!B31)</f>
        <v>- Technicien(s)</v>
      </c>
      <c r="C31" s="424"/>
      <c r="D31" s="425"/>
      <c r="E31" s="424"/>
      <c r="F31" s="425"/>
      <c r="G31" s="337">
        <f t="shared" ref="G31:G32" si="0">SUM(C31:F31)</f>
        <v>0</v>
      </c>
      <c r="H31" s="305"/>
      <c r="I31" s="305"/>
      <c r="J31" s="305"/>
    </row>
    <row r="32" spans="1:11" x14ac:dyDescent="0.25">
      <c r="A32" s="305"/>
      <c r="B32" s="189" t="str">
        <f>IF(C20="FRA",FRA!B32,ENG!B32)</f>
        <v>- Autres</v>
      </c>
      <c r="C32" s="424"/>
      <c r="D32" s="425"/>
      <c r="E32" s="424"/>
      <c r="F32" s="425"/>
      <c r="G32" s="337">
        <f t="shared" si="0"/>
        <v>0</v>
      </c>
      <c r="H32" s="305"/>
      <c r="I32" s="305"/>
      <c r="J32" s="305"/>
    </row>
    <row r="33" spans="1:10" x14ac:dyDescent="0.25">
      <c r="A33" s="305"/>
      <c r="B33" s="184" t="str">
        <f>IF(C20="FRA",FRA!B33,ENG!B33)</f>
        <v>MATÉRIEL ET CONSOMMABLES</v>
      </c>
      <c r="C33" s="438">
        <f>SUM(C34:C36)</f>
        <v>0</v>
      </c>
      <c r="D33" s="439"/>
      <c r="E33" s="438">
        <f>SUM(E34:E36)</f>
        <v>0</v>
      </c>
      <c r="F33" s="439"/>
      <c r="G33" s="338">
        <f t="shared" ref="G33:G42" si="1">SUM(C33:F33)</f>
        <v>0</v>
      </c>
      <c r="H33" s="305"/>
      <c r="I33" s="305"/>
      <c r="J33" s="305"/>
    </row>
    <row r="34" spans="1:10" x14ac:dyDescent="0.25">
      <c r="A34" s="305"/>
      <c r="B34" s="190" t="str">
        <f>IF(C20="FRA",FRA!B34,ENG!B34)</f>
        <v xml:space="preserve">·  Matériaux et fournitures </v>
      </c>
      <c r="C34" s="424"/>
      <c r="D34" s="425"/>
      <c r="E34" s="424"/>
      <c r="F34" s="425"/>
      <c r="G34" s="337">
        <f t="shared" si="1"/>
        <v>0</v>
      </c>
      <c r="H34" s="305"/>
      <c r="I34" s="305"/>
      <c r="J34" s="305"/>
    </row>
    <row r="35" spans="1:10" x14ac:dyDescent="0.25">
      <c r="A35" s="305"/>
      <c r="B35" s="190" t="str">
        <f>IF(C20="FRA",FRA!B35,ENG!B35)</f>
        <v xml:space="preserve">·  Frais d’utilisation </v>
      </c>
      <c r="C35" s="424"/>
      <c r="D35" s="425"/>
      <c r="E35" s="424"/>
      <c r="F35" s="425"/>
      <c r="G35" s="337">
        <f t="shared" si="1"/>
        <v>0</v>
      </c>
      <c r="H35" s="305"/>
      <c r="I35" s="305"/>
      <c r="J35" s="305"/>
    </row>
    <row r="36" spans="1:10" x14ac:dyDescent="0.25">
      <c r="A36" s="305"/>
      <c r="B36" s="191" t="str">
        <f>IF(C20="FRA",FRA!B36,ENG!B36)</f>
        <v xml:space="preserve">·  Autres </v>
      </c>
      <c r="C36" s="424"/>
      <c r="D36" s="425"/>
      <c r="E36" s="424"/>
      <c r="F36" s="425"/>
      <c r="G36" s="337">
        <f t="shared" si="1"/>
        <v>0</v>
      </c>
      <c r="H36" s="305"/>
      <c r="I36" s="305"/>
      <c r="J36" s="305"/>
    </row>
    <row r="37" spans="1:10" x14ac:dyDescent="0.25">
      <c r="A37" s="305"/>
      <c r="B37" s="185" t="str">
        <f>IF(C20="FRA",FRA!B37,ENG!B37)</f>
        <v>DIFFUSION DES CONNAISSANCES</v>
      </c>
      <c r="C37" s="438">
        <f>SUM(C38:C40)</f>
        <v>0</v>
      </c>
      <c r="D37" s="439"/>
      <c r="E37" s="438">
        <f>SUM(E38:E40)</f>
        <v>0</v>
      </c>
      <c r="F37" s="439"/>
      <c r="G37" s="338">
        <f t="shared" si="1"/>
        <v>0</v>
      </c>
      <c r="H37" s="305"/>
      <c r="I37" s="305"/>
      <c r="J37" s="305"/>
    </row>
    <row r="38" spans="1:10" x14ac:dyDescent="0.25">
      <c r="A38" s="305"/>
      <c r="B38" s="190" t="str">
        <f>IF(C20="FRA",FRA!B38,ENG!B38)</f>
        <v xml:space="preserve">·  Conférence </v>
      </c>
      <c r="C38" s="424"/>
      <c r="D38" s="425"/>
      <c r="E38" s="424"/>
      <c r="F38" s="425"/>
      <c r="G38" s="337">
        <f t="shared" si="1"/>
        <v>0</v>
      </c>
      <c r="H38" s="305"/>
      <c r="I38" s="305"/>
      <c r="J38" s="305"/>
    </row>
    <row r="39" spans="1:10" x14ac:dyDescent="0.25">
      <c r="A39" s="305"/>
      <c r="B39" s="190" t="str">
        <f>IF(C20="FRA",FRA!B39,ENG!B39)</f>
        <v xml:space="preserve">·  Frais de voyage </v>
      </c>
      <c r="C39" s="424"/>
      <c r="D39" s="425"/>
      <c r="E39" s="424"/>
      <c r="F39" s="425"/>
      <c r="G39" s="337">
        <f t="shared" si="1"/>
        <v>0</v>
      </c>
      <c r="H39" s="305"/>
      <c r="I39" s="305"/>
      <c r="J39" s="305"/>
    </row>
    <row r="40" spans="1:10" x14ac:dyDescent="0.25">
      <c r="A40" s="305"/>
      <c r="B40" s="190" t="str">
        <f>IF(C20="FRA",FRA!B40,ENG!B40)</f>
        <v xml:space="preserve">·  Frais liés à la diffusion </v>
      </c>
      <c r="C40" s="424"/>
      <c r="D40" s="425"/>
      <c r="E40" s="424"/>
      <c r="F40" s="425"/>
      <c r="G40" s="337">
        <f t="shared" si="1"/>
        <v>0</v>
      </c>
      <c r="H40" s="305"/>
      <c r="I40" s="305"/>
      <c r="J40" s="305"/>
    </row>
    <row r="41" spans="1:10" x14ac:dyDescent="0.25">
      <c r="A41" s="305"/>
      <c r="B41" s="185" t="str">
        <f>IF(C20="FRA",FRA!B41,ENG!B41)</f>
        <v xml:space="preserve">AUTRES DÉPENSES </v>
      </c>
      <c r="C41" s="438">
        <f>C42</f>
        <v>0</v>
      </c>
      <c r="D41" s="439"/>
      <c r="E41" s="438">
        <f>E42</f>
        <v>0</v>
      </c>
      <c r="F41" s="439"/>
      <c r="G41" s="338">
        <f t="shared" si="1"/>
        <v>0</v>
      </c>
      <c r="H41" s="305"/>
      <c r="I41" s="305"/>
      <c r="J41" s="305"/>
    </row>
    <row r="42" spans="1:10" ht="15.75" thickBot="1" x14ac:dyDescent="0.3">
      <c r="A42" s="305"/>
      <c r="B42" s="192" t="str">
        <f>IF(C20="FRA",FRA!B42,ENG!B42)</f>
        <v xml:space="preserve">·  Préciser </v>
      </c>
      <c r="C42" s="442"/>
      <c r="D42" s="443"/>
      <c r="E42" s="442"/>
      <c r="F42" s="443"/>
      <c r="G42" s="339">
        <f t="shared" si="1"/>
        <v>0</v>
      </c>
      <c r="H42" s="305"/>
      <c r="I42" s="305"/>
      <c r="J42" s="305"/>
    </row>
    <row r="43" spans="1:10" ht="15.75" thickTop="1" x14ac:dyDescent="0.25">
      <c r="A43" s="305"/>
      <c r="B43" s="186" t="str">
        <f>IF(C20="FRA",FRA!B43,ENG!B43)</f>
        <v>TOTAL DU COÛT DE LA RECHERCHE</v>
      </c>
      <c r="C43" s="446">
        <f>C29+C33+C37+C41</f>
        <v>0</v>
      </c>
      <c r="D43" s="447"/>
      <c r="E43" s="446">
        <f>E29+E33+E37+E41</f>
        <v>0</v>
      </c>
      <c r="F43" s="447"/>
      <c r="G43" s="340">
        <f>G29+G33+G37+G41</f>
        <v>0</v>
      </c>
      <c r="H43" s="305"/>
      <c r="I43" s="305"/>
      <c r="J43" s="305"/>
    </row>
    <row r="44" spans="1:10" x14ac:dyDescent="0.25">
      <c r="A44" s="305"/>
      <c r="B44" s="195"/>
      <c r="C44" s="196"/>
      <c r="D44" s="196"/>
      <c r="E44" s="196"/>
      <c r="F44" s="196"/>
      <c r="G44" s="341"/>
      <c r="H44" s="305"/>
      <c r="I44" s="305"/>
      <c r="J44" s="305"/>
    </row>
    <row r="45" spans="1:10" x14ac:dyDescent="0.25">
      <c r="A45" s="305"/>
      <c r="B45" s="193" t="str">
        <f>IF(C20="FRA",FRA!B45,ENG!B45)</f>
        <v>FRAIS DE GESTION (FG)  (5%)</v>
      </c>
      <c r="C45" s="456">
        <f>SUM(C46:D47)</f>
        <v>0</v>
      </c>
      <c r="D45" s="457"/>
      <c r="E45" s="456">
        <f t="shared" ref="E45" si="2">SUM(E46:F47)</f>
        <v>0</v>
      </c>
      <c r="F45" s="457"/>
      <c r="G45" s="342">
        <f>SUM(G46:H47)</f>
        <v>0</v>
      </c>
      <c r="H45" s="305"/>
      <c r="I45" s="305"/>
      <c r="J45" s="305"/>
    </row>
    <row r="46" spans="1:10" x14ac:dyDescent="0.25">
      <c r="A46" s="305"/>
      <c r="B46" s="190" t="str">
        <f>IF(C20="FRA",FRA!B46,ENG!B46)</f>
        <v>Payé par le MÉI  (2%)</v>
      </c>
      <c r="C46" s="456">
        <f>0.02*C43</f>
        <v>0</v>
      </c>
      <c r="D46" s="457"/>
      <c r="E46" s="456">
        <f t="shared" ref="E46" si="3">0.02*E43</f>
        <v>0</v>
      </c>
      <c r="F46" s="457"/>
      <c r="G46" s="343">
        <f>SUM(C46:F46)</f>
        <v>0</v>
      </c>
      <c r="H46" s="305"/>
      <c r="I46" s="305"/>
      <c r="J46" s="305"/>
    </row>
    <row r="47" spans="1:10" x14ac:dyDescent="0.25">
      <c r="A47" s="305"/>
      <c r="B47" s="194" t="str">
        <f>IF(C20="FRA",FRA!B47,ENG!B47)</f>
        <v xml:space="preserve">Payé par les partenaires industriels (3%) </v>
      </c>
      <c r="C47" s="450">
        <f>0.03*C43</f>
        <v>0</v>
      </c>
      <c r="D47" s="451"/>
      <c r="E47" s="450">
        <f t="shared" ref="E47" si="4">0.03*E43</f>
        <v>0</v>
      </c>
      <c r="F47" s="451"/>
      <c r="G47" s="344">
        <f>SUM(C47:F47)</f>
        <v>0</v>
      </c>
      <c r="H47" s="305"/>
      <c r="I47" s="305"/>
      <c r="J47" s="305"/>
    </row>
    <row r="48" spans="1:10" ht="15.75" thickBot="1" x14ac:dyDescent="0.3">
      <c r="A48" s="305"/>
      <c r="B48" s="198"/>
      <c r="C48" s="199"/>
      <c r="D48" s="199"/>
      <c r="E48" s="199"/>
      <c r="F48" s="199"/>
      <c r="G48" s="345"/>
      <c r="H48" s="305"/>
      <c r="I48" s="305"/>
      <c r="J48" s="305"/>
    </row>
    <row r="49" spans="1:12" ht="15.75" thickTop="1" x14ac:dyDescent="0.25">
      <c r="A49" s="305"/>
      <c r="B49" s="187" t="str">
        <f>IF(C20="FRA",FRA!B49,ENG!B49)</f>
        <v>TOTAL DES DÉPENSES ADMISSIBLES</v>
      </c>
      <c r="C49" s="446">
        <f>C43+C45</f>
        <v>0</v>
      </c>
      <c r="D49" s="447"/>
      <c r="E49" s="446">
        <f>E43+E45</f>
        <v>0</v>
      </c>
      <c r="F49" s="447"/>
      <c r="G49" s="346">
        <f>G43+G45</f>
        <v>0</v>
      </c>
      <c r="H49" s="305"/>
      <c r="I49" s="305"/>
      <c r="J49" s="305"/>
    </row>
    <row r="50" spans="1:12" ht="15.75" thickBot="1" x14ac:dyDescent="0.3">
      <c r="A50" s="305"/>
      <c r="B50" s="195"/>
      <c r="C50" s="196"/>
      <c r="D50" s="196"/>
      <c r="E50" s="196"/>
      <c r="F50" s="196"/>
      <c r="G50" s="341"/>
      <c r="H50" s="305"/>
      <c r="I50" s="305"/>
      <c r="J50" s="305"/>
    </row>
    <row r="51" spans="1:12" ht="15.75" thickBot="1" x14ac:dyDescent="0.3">
      <c r="A51" s="305"/>
      <c r="B51" s="208" t="str">
        <f>IF(C20="FRA",FRA!B51,ENG!B51)</f>
        <v>Montant en nature pris en compte (max : 20 % du coût total admissible du projet = 0 $)</v>
      </c>
      <c r="C51" s="209"/>
      <c r="D51" s="209"/>
      <c r="E51" s="209"/>
      <c r="F51" s="209"/>
      <c r="G51" s="361"/>
      <c r="H51" s="305"/>
      <c r="I51" s="305"/>
      <c r="J51" s="305"/>
      <c r="K51" s="151"/>
    </row>
    <row r="52" spans="1:12" ht="15.75" thickBot="1" x14ac:dyDescent="0.3">
      <c r="A52" s="305"/>
      <c r="B52" s="201"/>
      <c r="C52" s="464"/>
      <c r="D52" s="464"/>
      <c r="E52" s="202"/>
      <c r="F52" s="202"/>
      <c r="G52" s="360"/>
      <c r="H52" s="305"/>
      <c r="I52" s="305"/>
      <c r="J52" s="305"/>
      <c r="K52" s="151"/>
      <c r="L52" s="143"/>
    </row>
    <row r="53" spans="1:12" ht="16.5" thickTop="1" thickBot="1" x14ac:dyDescent="0.3">
      <c r="A53" s="305"/>
      <c r="B53" s="205" t="str">
        <f>IF(C20="FRA",FRA!B53,ENG!B53)</f>
        <v>CÔUT TOTAL ADMISSIBLE DU PROJET</v>
      </c>
      <c r="C53" s="206"/>
      <c r="D53" s="206"/>
      <c r="E53" s="207"/>
      <c r="F53" s="207"/>
      <c r="G53" s="347">
        <f>G49+G51</f>
        <v>0</v>
      </c>
      <c r="H53" s="305"/>
      <c r="I53" s="305"/>
      <c r="J53" s="305"/>
      <c r="K53" s="151"/>
    </row>
    <row r="54" spans="1:12" ht="15.75" thickBot="1" x14ac:dyDescent="0.3">
      <c r="A54" s="305"/>
      <c r="B54" s="305"/>
      <c r="C54" s="305"/>
      <c r="D54" s="305"/>
      <c r="E54" s="305"/>
      <c r="F54" s="305"/>
      <c r="G54" s="305"/>
      <c r="H54" s="305"/>
      <c r="I54" s="305"/>
      <c r="J54" s="305"/>
      <c r="K54" s="151"/>
    </row>
    <row r="55" spans="1:12" ht="14.45" customHeight="1" thickBot="1" x14ac:dyDescent="0.3">
      <c r="A55" s="305"/>
      <c r="B55" s="467" t="str">
        <f>IF(C20="FRA",FRA!B55,ENG!B55)</f>
        <v>4. RÉPARTITION DU FINANCEMENT</v>
      </c>
      <c r="C55" s="429"/>
      <c r="D55" s="429"/>
      <c r="E55" s="429"/>
      <c r="F55" s="429"/>
      <c r="G55" s="429"/>
      <c r="H55" s="429"/>
      <c r="I55" s="430"/>
      <c r="J55" s="305"/>
      <c r="K55" s="151"/>
    </row>
    <row r="56" spans="1:12" ht="15" customHeight="1" x14ac:dyDescent="0.25">
      <c r="A56" s="305"/>
      <c r="B56" s="541"/>
      <c r="C56" s="486" t="str">
        <f>IF(C20="FRA",FRA!C56,ENG!C56)</f>
        <v>Séparation du coût total admissible du projet</v>
      </c>
      <c r="D56" s="486"/>
      <c r="E56" s="486"/>
      <c r="F56" s="480"/>
      <c r="G56" s="472" t="str">
        <f>IF(C20="FRA",FRA!G56,ENG!G56)</f>
        <v>Frais indirects de recherche</v>
      </c>
      <c r="H56" s="486" t="str">
        <f>IF(C20="FRA",FRA!I56,ENG!I56)</f>
        <v>Frais d'adhésion MEDTEQ</v>
      </c>
      <c r="I56" s="475" t="str">
        <f>IF(C20="FRA",FRA!J56,ENG!J56)</f>
        <v>TOTAL</v>
      </c>
      <c r="J56" s="305"/>
      <c r="K56" s="151"/>
    </row>
    <row r="57" spans="1:12" ht="14.45" customHeight="1" x14ac:dyDescent="0.25">
      <c r="A57" s="305"/>
      <c r="B57" s="541"/>
      <c r="C57" s="486" t="str">
        <f>IF(C20="FRA",FRA!C57,ENG!C57)</f>
        <v>En espèces (FG inclus)</v>
      </c>
      <c r="D57" s="480"/>
      <c r="E57" s="486" t="str">
        <f>IF(C20="FRA",FRA!E57,ENG!E57)</f>
        <v>En nature</v>
      </c>
      <c r="F57" s="480"/>
      <c r="G57" s="472"/>
      <c r="H57" s="486"/>
      <c r="I57" s="475"/>
      <c r="J57" s="305"/>
      <c r="K57" s="151"/>
    </row>
    <row r="58" spans="1:12" ht="15.75" thickBot="1" x14ac:dyDescent="0.3">
      <c r="A58" s="305"/>
      <c r="B58" s="332"/>
      <c r="C58" s="331" t="s">
        <v>103</v>
      </c>
      <c r="D58" s="212" t="s">
        <v>104</v>
      </c>
      <c r="E58" s="213" t="s">
        <v>103</v>
      </c>
      <c r="F58" s="212" t="s">
        <v>104</v>
      </c>
      <c r="G58" s="214" t="s">
        <v>99</v>
      </c>
      <c r="H58" s="540"/>
      <c r="I58" s="324" t="str">
        <f>IF(C20="FRA",FRA!J58,ENG!J58)</f>
        <v>(avant taxes)</v>
      </c>
      <c r="J58" s="305"/>
      <c r="K58" s="151"/>
    </row>
    <row r="59" spans="1:12" ht="19.899999999999999" customHeight="1" thickBot="1" x14ac:dyDescent="0.3">
      <c r="A59" s="305"/>
      <c r="B59" s="216" t="str">
        <f>IF(C20="FRA",FRA!B59,ENG!B59)</f>
        <v>Total demandé au(x) industriel(s)</v>
      </c>
      <c r="C59" s="217" t="e">
        <f>IF(TRL="2-3",IF(TransMedTech="Sans / Without TransMedTech",'TRL1-3'!C18,'iTMT TRL1-3'!C19),IF(TransMedTech="Sans / Without TransMedTech",'TRL4-6'!C19,'iTMT TRL4-6'!C20))</f>
        <v>#DIV/0!</v>
      </c>
      <c r="D59" s="218" t="e">
        <f>C59/G53</f>
        <v>#DIV/0!</v>
      </c>
      <c r="E59" s="219">
        <f>IF(TRL="2-3",0,G51)</f>
        <v>0</v>
      </c>
      <c r="F59" s="218" t="e">
        <f>E59/G53</f>
        <v>#DIV/0!</v>
      </c>
      <c r="G59" s="221">
        <f>LOOKUP(Etablissement,Feuil1!D42:D64,Feuil1!E42:E64)</f>
        <v>0.27</v>
      </c>
      <c r="H59" s="322"/>
      <c r="I59" s="325"/>
      <c r="J59" s="305"/>
      <c r="K59" s="151"/>
    </row>
    <row r="60" spans="1:12" x14ac:dyDescent="0.25">
      <c r="A60" s="305"/>
      <c r="B60" s="250" t="str">
        <f>IF(E22="","",E22)</f>
        <v/>
      </c>
      <c r="C60" s="152"/>
      <c r="D60" s="229" t="e">
        <f>C60/$G$53</f>
        <v>#DIV/0!</v>
      </c>
      <c r="E60" s="152"/>
      <c r="F60" s="229" t="e">
        <f>E60/$G$53</f>
        <v>#DIV/0!</v>
      </c>
      <c r="G60" s="321">
        <f>C60*G$59</f>
        <v>0</v>
      </c>
      <c r="H60" s="321">
        <f>IF(H22="Oui / Yes",0,
IF(AND(G22="Compagnie / Compagny",I22="Moins de deux ans d'activité / Less than 2 years of activity"),350,0)+
IF(AND(G22="Compagnie / Compagny",I22="Moins de / Less than 5 M$"),850,0)+
IF(AND(G22="Compagnie / Compagny",I22="5 M$ - 10 M$"),1800,0)+
IF(AND(G22="Compagnie / Compagny",I22="10 M$ - 50 M$"),1800,0)+
IF(AND(G22="Compagnie / Compagny",I22="Plus de / More than 50 M$"),4000,0)+
IF(AND(G22="Société de consultation / Consulting firm",I22="Moins de deux ans d'activité / Less than 2 years of activity"),4000,0)+
IF(AND(G22="Société de consultation / Consulting firm",I22="Moins de / Less than 5 M$"),4000,0)+
IF(AND(G22="Société de consultation / Consulting firm",I22="5 M$ - 10 M$"),4000,0)+
IF(AND(G22="Société de consultation / Consulting firm",I22="10 M$ - 50 M$"),7500,0)+
IF(AND(G22="Société de consultation / Consulting firm",I22="Plus de / More than 50 M$"),7500,0)+
IF(G22="Université / University",4000,0)+
IF(G22="CCTT",1800,0)+
IF(G22="Centre de recherche / Research Center", 4000,0)+
IF(G22="CHU / UHC",4000,0)+
IF(G22="CIUSSS",4000,0)+
IF(G22="Institut / Institute",4000,0)+
IF(G22="CISSS",1800,0)+
IF(AND(G22="Organisation caritative / Charitable organization",I22="Moins de deux ans d'activité / Less than 2 years of activity"),850,0)+
IF(AND(G22="Organisation caritative / Charitable organization",I22="Moins de / Less than 5 M$"),850,0)+
IF(AND(G22="Organisation caritative / Charitable organization",I22="5 M$ - 10 M$"),1800,0)+
IF(AND(G22="Organisation caritative / Charitable organization",I22="10 M$ - 50 M$"),1800,0)+
IF(AND(G22="Organisation caritative / Charitable organization",I22="Plus de / More than 50 M$"),1800,0)+
IF(AND(G22="Fondation",I22="Moins de deux ans d'activité / Less than 2 years of activity"),850,0)+
IF(AND(G22="Fondation",I22="Moins de / Less than 5 M$"),850,0)+
IF(AND(G22="Fondation",I22="5 M$ - 10 M$"),1800,0)+
IF(AND(G22="Fondation",I22="10 M$ - 50 M$"),1800,0)+
IF(AND(G22="Fondation",I22="Plus de / More than 50 M$"),1800,0)+
IF(G22="Groupe d'intérêt / Interest group",850,0)+
IF(G22="Fédération / Federation",850,0)+
IF(G22="Incubateur-accélérateur / Incubator-accelerator",5000,0)+
IF(G22="Société de valorisation / Technology transfer organization",5000,0)+
IF(G22="Organisme international / International Member",5000,0))</f>
        <v>0</v>
      </c>
      <c r="I60" s="326">
        <f>C60+E60+G60+H60</f>
        <v>0</v>
      </c>
      <c r="J60" s="305"/>
      <c r="K60" s="151"/>
    </row>
    <row r="61" spans="1:12" x14ac:dyDescent="0.25">
      <c r="A61" s="305"/>
      <c r="B61" s="250" t="str">
        <f>IF(E23="","",E23)</f>
        <v/>
      </c>
      <c r="C61" s="154"/>
      <c r="D61" s="230" t="e">
        <f>C61/$G$53</f>
        <v>#DIV/0!</v>
      </c>
      <c r="E61" s="351"/>
      <c r="F61" s="230" t="e">
        <f>E61/$G$53</f>
        <v>#DIV/0!</v>
      </c>
      <c r="G61" s="321">
        <f t="shared" ref="G61:G63" si="5">C61*G$59</f>
        <v>0</v>
      </c>
      <c r="H61" s="321">
        <f t="shared" ref="H61:H63" si="6">IF(H23="Oui / Yes",0,
IF(AND(G23="Compagnie / Compagny",I23="Moins de deux ans d'activité / Less than 2 years of activity"),350,0)+
IF(AND(G23="Compagnie / Compagny",I23="Moins de / Less than 5 M$"),850,0)+
IF(AND(G23="Compagnie / Compagny",I23="5 M$ - 10 M$"),1800,0)+
IF(AND(G23="Compagnie / Compagny",I23="10 M$ - 50 M$"),1800,0)+
IF(AND(G23="Compagnie / Compagny",I23="Plus de / More than 50 M$"),4000,0)+
IF(AND(G23="Société de consultation / Consulting firm",I23="Moins de deux ans d'activité / Less than 2 years of activity"),4000,0)+
IF(AND(G23="Société de consultation / Consulting firm",I23="Moins de / Less than 5 M$"),4000,0)+
IF(AND(G23="Société de consultation / Consulting firm",I23="5 M$ - 10 M$"),4000,0)+
IF(AND(G23="Société de consultation / Consulting firm",I23="10 M$ - 50 M$"),7500,0)+
IF(AND(G23="Société de consultation / Consulting firm",I23="Plus de / More than 50 M$"),7500,0)+
IF(G23="Université / University",4000,0)+
IF(G23="CCTT",1800,0)+
IF(G23="Centre de recherche / Research Center", 4000,0)+
IF(G23="CHU / UHC",4000,0)+
IF(G23="CIUSSS",4000,0)+
IF(G23="Institut / Institute",4000,0)+
IF(G23="CISSS",1800,0)+
IF(AND(G23="Organisation caritative / Charitable organization",I23="Moins de deux ans d'activité / Less than 2 years of activity"),850,0)+
IF(AND(G23="Organisation caritative / Charitable organization",I23="Moins de / Less than 5 M$"),850,0)+
IF(AND(G23="Organisation caritative / Charitable organization",I23="5 M$ - 10 M$"),1800,0)+
IF(AND(G23="Organisation caritative / Charitable organization",I23="10 M$ - 50 M$"),1800,0)+
IF(AND(G23="Organisation caritative / Charitable organization",I23="Plus de / More than 50 M$"),1800,0)+
IF(AND(G23="Fondation",I23="Moins de deux ans d'activité / Less than 2 years of activity"),850,0)+
IF(AND(G23="Fondation",I23="Moins de / Less than 5 M$"),850,0)+
IF(AND(G23="Fondation",I23="5 M$ - 10 M$"),1800,0)+
IF(AND(G23="Fondation",I23="10 M$ - 50 M$"),1800,0)+
IF(AND(G23="Fondation",I23="Plus de / More than 50 M$"),1800,0)+
IF(G23="Groupe d'intérêt / Interest group",850,0)+
IF(G23="Fédération / Federation",850,0)+
IF(G23="Incubateur-accélérateur / Incubator-accelerator",5000,0)+
IF(G23="Société de valorisation / Technology transfer organization",5000,0)+
IF(G23="Organisme international / International Member",5000,0))</f>
        <v>0</v>
      </c>
      <c r="I61" s="327">
        <f t="shared" ref="I61:I63" si="7">C61+E61+G61+H61</f>
        <v>0</v>
      </c>
      <c r="J61" s="305"/>
      <c r="K61" s="151"/>
    </row>
    <row r="62" spans="1:12" x14ac:dyDescent="0.25">
      <c r="A62" s="305"/>
      <c r="B62" s="250" t="str">
        <f>IF(E24="","",E24)</f>
        <v/>
      </c>
      <c r="C62" s="154"/>
      <c r="D62" s="230" t="e">
        <f>C62/$G$53</f>
        <v>#DIV/0!</v>
      </c>
      <c r="E62" s="351"/>
      <c r="F62" s="230" t="e">
        <f>E62/$G$53</f>
        <v>#DIV/0!</v>
      </c>
      <c r="G62" s="321">
        <f t="shared" si="5"/>
        <v>0</v>
      </c>
      <c r="H62" s="321">
        <f t="shared" si="6"/>
        <v>0</v>
      </c>
      <c r="I62" s="327">
        <f t="shared" si="7"/>
        <v>0</v>
      </c>
      <c r="J62" s="305"/>
      <c r="K62" s="151"/>
    </row>
    <row r="63" spans="1:12" ht="15.75" thickBot="1" x14ac:dyDescent="0.3">
      <c r="A63" s="305"/>
      <c r="B63" s="250" t="str">
        <f>IF(E25="","",E25)</f>
        <v/>
      </c>
      <c r="C63" s="155"/>
      <c r="D63" s="230" t="e">
        <f>C63/$G$53</f>
        <v>#DIV/0!</v>
      </c>
      <c r="E63" s="352"/>
      <c r="F63" s="230" t="e">
        <f>E63/$G$53</f>
        <v>#DIV/0!</v>
      </c>
      <c r="G63" s="321">
        <f t="shared" si="5"/>
        <v>0</v>
      </c>
      <c r="H63" s="321">
        <f t="shared" si="6"/>
        <v>0</v>
      </c>
      <c r="I63" s="327">
        <f t="shared" si="7"/>
        <v>0</v>
      </c>
      <c r="J63" s="305"/>
      <c r="K63" s="151"/>
    </row>
    <row r="64" spans="1:12" ht="16.5" thickTop="1" thickBot="1" x14ac:dyDescent="0.3">
      <c r="A64" s="305"/>
      <c r="B64" s="251" t="str">
        <f>IF(C20="FRA",FRA!B64,ENG!B64)</f>
        <v>Validation ou écart</v>
      </c>
      <c r="C64" s="156" t="e">
        <f>ROUND(C59,0)-ROUND(SUM(C60:C63),0)</f>
        <v>#DIV/0!</v>
      </c>
      <c r="D64" s="350" t="e">
        <f>ROUND(D59,2)-ROUND(SUM(D60:D63),2)</f>
        <v>#DIV/0!</v>
      </c>
      <c r="E64" s="156">
        <f t="shared" ref="E64" si="8">ROUND(E59,0)-ROUND(SUM(E60:E63),0)</f>
        <v>0</v>
      </c>
      <c r="F64" s="350" t="e">
        <f>ROUND(F59,2)-ROUND(SUM(F60:F63),2)</f>
        <v>#DIV/0!</v>
      </c>
      <c r="G64" s="268"/>
      <c r="H64" s="268"/>
      <c r="I64" s="328"/>
      <c r="J64" s="305"/>
      <c r="K64" s="151"/>
    </row>
    <row r="65" spans="1:11" ht="15.75" thickBot="1" x14ac:dyDescent="0.3">
      <c r="A65" s="305"/>
      <c r="B65" s="263"/>
      <c r="C65" s="534" t="e">
        <f>IF(C20="FRA",FRA!C65,ENG!C65)</f>
        <v>#DIV/0!</v>
      </c>
      <c r="D65" s="535"/>
      <c r="E65" s="535"/>
      <c r="F65" s="536"/>
      <c r="G65" s="269"/>
      <c r="H65" s="269"/>
      <c r="I65" s="329"/>
      <c r="J65" s="305"/>
      <c r="K65" s="151"/>
    </row>
    <row r="66" spans="1:11" x14ac:dyDescent="0.25">
      <c r="A66" s="305"/>
      <c r="B66" s="264"/>
      <c r="C66" s="267"/>
      <c r="D66" s="267"/>
      <c r="E66" s="267"/>
      <c r="F66" s="267"/>
      <c r="G66" s="270"/>
      <c r="H66" s="270"/>
      <c r="I66" s="330"/>
      <c r="J66" s="323"/>
      <c r="K66" s="151"/>
    </row>
    <row r="67" spans="1:11" ht="15" customHeight="1" x14ac:dyDescent="0.25">
      <c r="A67" s="305"/>
      <c r="B67" s="265"/>
      <c r="C67" s="485" t="str">
        <f>IF(C20="FRA",FRA!C67,ENG!C67)</f>
        <v>Séparation du coût total admissible du projet</v>
      </c>
      <c r="D67" s="485"/>
      <c r="E67" s="485"/>
      <c r="F67" s="485"/>
      <c r="G67" s="271"/>
      <c r="H67" s="272"/>
      <c r="I67" s="328"/>
      <c r="J67" s="323"/>
      <c r="K67" s="151"/>
    </row>
    <row r="68" spans="1:11" ht="24.6" customHeight="1" x14ac:dyDescent="0.25">
      <c r="A68" s="305"/>
      <c r="B68" s="265"/>
      <c r="C68" s="479" t="str">
        <f>IF(C20="FRA",FRA!C68,ENG!C68)</f>
        <v>En espèce (FG inclus)</v>
      </c>
      <c r="D68" s="480"/>
      <c r="E68" s="479" t="str">
        <f>IF(C20="FRA",FRA!E68,ENG!E68)</f>
        <v>En nature</v>
      </c>
      <c r="F68" s="480"/>
      <c r="G68" s="211" t="str">
        <f>IF(C20="FRA",FRA!G68,ENG!G68)</f>
        <v>Frais indirects de recherche (FIR)</v>
      </c>
      <c r="H68" s="470" t="str">
        <f>IF(C20="FRA",FRA!I68,ENG!I68)</f>
        <v>TOTAL</v>
      </c>
      <c r="I68" s="548"/>
      <c r="J68" s="323"/>
      <c r="K68" s="151"/>
    </row>
    <row r="69" spans="1:11" x14ac:dyDescent="0.25">
      <c r="A69" s="305"/>
      <c r="B69" s="266"/>
      <c r="C69" s="224" t="s">
        <v>103</v>
      </c>
      <c r="D69" s="224" t="str">
        <f>IF(TRL="2-3",IF(TransMedTech="Sans TransMedTech",'TRL1-3'!D52,'iTMT TRL1-3'!D52),IF(TransMedTech="Sans TransMedTech",'TRL4-6'!D54,'iTMT TRL4-6'!D53))</f>
        <v>%</v>
      </c>
      <c r="E69" s="224" t="str">
        <f>IF(TRL="2-3",IF(TransMedTech="Sans TransMedTech",'TRL1-3'!E52,'iTMT TRL1-3'!E52),IF(TransMedTech="Sans TransMedTech",'TRL4-6'!E54,'iTMT TRL4-6'!E53))</f>
        <v>$$$</v>
      </c>
      <c r="F69" s="224" t="str">
        <f>IF(TRL="2-3",IF(TransMedTech="Sans TransMedTech",'TRL1-3'!F52,'iTMT TRL1-3'!F52),IF(TransMedTech="Sans TransMedTech",'TRL4-6'!F54,'iTMT TRL4-6'!F53))</f>
        <v>%</v>
      </c>
      <c r="G69" s="333">
        <f>LOOKUP(Etablissement,Feuil1!D42:D64,Feuil1!E42:E64)</f>
        <v>0.27</v>
      </c>
      <c r="H69" s="504"/>
      <c r="I69" s="549"/>
      <c r="J69" s="323"/>
      <c r="K69" s="151"/>
    </row>
    <row r="70" spans="1:11" x14ac:dyDescent="0.25">
      <c r="A70" s="305"/>
      <c r="B70" s="252" t="str">
        <f>IF(C20="FRA",FRA!B70,ENG!B70)</f>
        <v>Oncopole</v>
      </c>
      <c r="C70" s="225" t="e">
        <f>IF(TRL="2-3",IF(TransMedTech="Sans / Without TransMedTech",'TRL1-3'!C16,'iTMT TRL1-3'!C16),IF(TransMedTech="Sans / Without TransMedTech",'TRL4-6'!C17,'iTMT TRL4-6'!C17))</f>
        <v>#DIV/0!</v>
      </c>
      <c r="D70" s="226" t="e">
        <f>C70/G53</f>
        <v>#DIV/0!</v>
      </c>
      <c r="E70" s="227" t="s">
        <v>92</v>
      </c>
      <c r="F70" s="228" t="s">
        <v>92</v>
      </c>
      <c r="G70" s="228" t="s">
        <v>92</v>
      </c>
      <c r="H70" s="542" t="e">
        <f>SUM(C70,E70,G70)</f>
        <v>#DIV/0!</v>
      </c>
      <c r="I70" s="543"/>
      <c r="J70" s="323"/>
      <c r="K70" s="151"/>
    </row>
    <row r="71" spans="1:11" x14ac:dyDescent="0.25">
      <c r="A71" s="305"/>
      <c r="B71" s="252" t="str">
        <f>IF(C20="FRA",FRA!B71,ENG!B71)</f>
        <v>SRC</v>
      </c>
      <c r="C71" s="225" t="e">
        <f>IF(TRL="2-3",IF(TransMedTech="Sans / Without TransMedTech",'TRL1-3'!C17,'iTMT TRL1-3'!C17),IF(TransMedTech="Sans / Without TransMedTech",'TRL4-6'!C18,'iTMT TRL4-6'!C18))</f>
        <v>#DIV/0!</v>
      </c>
      <c r="D71" s="226" t="e">
        <f>C71/G53</f>
        <v>#DIV/0!</v>
      </c>
      <c r="E71" s="227" t="s">
        <v>92</v>
      </c>
      <c r="F71" s="228" t="s">
        <v>92</v>
      </c>
      <c r="G71" s="228" t="s">
        <v>92</v>
      </c>
      <c r="H71" s="542" t="e">
        <f>SUM(C71,E71,G71)</f>
        <v>#DIV/0!</v>
      </c>
      <c r="I71" s="543"/>
      <c r="J71" s="323"/>
      <c r="K71" s="151"/>
    </row>
    <row r="72" spans="1:11" x14ac:dyDescent="0.25">
      <c r="A72" s="305"/>
      <c r="B72" s="252" t="str">
        <f>IF(C20="FRA",FRA!B72,ENG!B72)</f>
        <v>MEDTEQ</v>
      </c>
      <c r="C72" s="225">
        <f>IF(TRL="2-3",IF(TransMedTech="Sans / Without TransMedTech",'TRL1-3'!C15,'iTMT TRL1-3'!C15),IF(TransMedTech="Sans / Without TransMedTech",'TRL4-6'!C16,'iTMT TRL4-6'!C16))</f>
        <v>0</v>
      </c>
      <c r="D72" s="226" t="e">
        <f>C72/G53</f>
        <v>#DIV/0!</v>
      </c>
      <c r="E72" s="227" t="s">
        <v>92</v>
      </c>
      <c r="F72" s="228" t="s">
        <v>92</v>
      </c>
      <c r="G72" s="319" t="e">
        <f>SUM(G30,G31,G34,G35,G39)*D72*G69</f>
        <v>#DIV/0!</v>
      </c>
      <c r="H72" s="542" t="e">
        <f>SUM(C72,E72,G72)</f>
        <v>#DIV/0!</v>
      </c>
      <c r="I72" s="543"/>
      <c r="J72" s="323"/>
      <c r="K72" s="151"/>
    </row>
    <row r="73" spans="1:11" x14ac:dyDescent="0.25">
      <c r="A73" s="305"/>
      <c r="B73" s="252" t="str">
        <f>IF(TransMedTech="Sans / Without TransMedTech","","Institut TransMedTech")</f>
        <v>Institut TransMedTech</v>
      </c>
      <c r="C73" s="225">
        <f>IF(TRL="2-3",IF(TransMedTech="Sans / Without TransMedTech","",'iTMT TRL1-3'!C18),IF(TransMedTech="Sans / Without TransMedTech","",'iTMT TRL4-6'!C19))</f>
        <v>0</v>
      </c>
      <c r="D73" s="226" t="e">
        <f>IF(TransMedTech="Sans / Without TransMedTech","",C73/G53)</f>
        <v>#DIV/0!</v>
      </c>
      <c r="E73" s="227" t="str">
        <f>IF(TransMedTech="Sans / Without TransMedTech","","N/A")</f>
        <v>N/A</v>
      </c>
      <c r="F73" s="235" t="str">
        <f>IF(TransMedTech="Sans / Without TransMedTech","","N/A")</f>
        <v>N/A</v>
      </c>
      <c r="G73" s="228" t="str">
        <f>IF(TransMedTech="Sans / Without TransMedTech","","N/A")</f>
        <v>N/A</v>
      </c>
      <c r="H73" s="544">
        <f>IF(TransMedTech="Sans / Without TransMedTech","",SUM(C73,E73,G73))</f>
        <v>0</v>
      </c>
      <c r="I73" s="545"/>
      <c r="J73" s="323"/>
      <c r="K73" s="151"/>
    </row>
    <row r="74" spans="1:11" ht="15.75" thickBot="1" x14ac:dyDescent="0.3">
      <c r="A74" s="305"/>
      <c r="B74" s="253" t="str">
        <f>IF(C20="FRA",FRA!B74,ENG!B74)</f>
        <v>Total demandé aux partenaires du concours</v>
      </c>
      <c r="C74" s="254" t="e">
        <f>SUM(C70:C73)</f>
        <v>#DIV/0!</v>
      </c>
      <c r="D74" s="255" t="e">
        <f>SUM(D70:D73)</f>
        <v>#DIV/0!</v>
      </c>
      <c r="E74" s="256">
        <f>SUM(E70:E72)</f>
        <v>0</v>
      </c>
      <c r="F74" s="257">
        <v>0</v>
      </c>
      <c r="G74" s="320" t="e">
        <f>SUM(G70:G73)</f>
        <v>#DIV/0!</v>
      </c>
      <c r="H74" s="546" t="e">
        <f>SUM(H70:I73)</f>
        <v>#DIV/0!</v>
      </c>
      <c r="I74" s="547"/>
      <c r="J74" s="323"/>
      <c r="K74" s="151"/>
    </row>
    <row r="75" spans="1:11" x14ac:dyDescent="0.25">
      <c r="A75" s="305"/>
      <c r="B75" s="305"/>
      <c r="C75" s="305"/>
      <c r="D75" s="305"/>
      <c r="E75" s="305"/>
      <c r="F75" s="305"/>
      <c r="G75" s="305"/>
      <c r="H75" s="305"/>
      <c r="I75" s="305"/>
      <c r="J75" s="305"/>
      <c r="K75" s="151"/>
    </row>
    <row r="76" spans="1:11" ht="15.75" thickBot="1" x14ac:dyDescent="0.3">
      <c r="A76" s="305"/>
      <c r="B76" s="305"/>
      <c r="C76" s="305"/>
      <c r="D76" s="305"/>
      <c r="E76" s="305"/>
      <c r="F76" s="305"/>
      <c r="G76" s="305"/>
      <c r="H76" s="305"/>
      <c r="I76" s="305"/>
      <c r="J76" s="305"/>
    </row>
    <row r="77" spans="1:11" ht="14.45" customHeight="1" x14ac:dyDescent="0.25">
      <c r="A77" s="305"/>
      <c r="B77" s="491" t="str">
        <f>IF(C20="FRA",FRA!B77,ENG!B77)</f>
        <v>5.SOMMAIRE</v>
      </c>
      <c r="C77" s="492"/>
      <c r="D77" s="492"/>
      <c r="E77" s="492"/>
      <c r="F77" s="492"/>
      <c r="G77" s="492"/>
      <c r="H77" s="493"/>
      <c r="I77" s="305"/>
      <c r="J77" s="305"/>
    </row>
    <row r="78" spans="1:11" ht="15" customHeight="1" thickBot="1" x14ac:dyDescent="0.3">
      <c r="A78" s="305"/>
      <c r="B78" s="494"/>
      <c r="C78" s="495"/>
      <c r="D78" s="495"/>
      <c r="E78" s="495"/>
      <c r="F78" s="495"/>
      <c r="G78" s="495"/>
      <c r="H78" s="496"/>
      <c r="I78" s="305"/>
      <c r="J78" s="305"/>
    </row>
    <row r="79" spans="1:11" ht="15.75" thickBot="1" x14ac:dyDescent="0.3">
      <c r="A79" s="305"/>
      <c r="B79" s="305"/>
      <c r="C79" s="305"/>
      <c r="D79" s="305"/>
      <c r="E79" s="305"/>
      <c r="F79" s="305"/>
      <c r="G79" s="305"/>
      <c r="H79" s="305"/>
      <c r="I79" s="305"/>
      <c r="J79" s="305"/>
    </row>
    <row r="80" spans="1:11" ht="16.5" thickBot="1" x14ac:dyDescent="0.3">
      <c r="A80" s="305"/>
      <c r="B80" s="537" t="str">
        <f>IF(C20="FRA",FRA!B80,ENG!B80)</f>
        <v>Informations sur le projet</v>
      </c>
      <c r="C80" s="538"/>
      <c r="D80" s="538"/>
      <c r="E80" s="538"/>
      <c r="F80" s="538"/>
      <c r="G80" s="538"/>
      <c r="H80" s="539"/>
      <c r="I80" s="305"/>
      <c r="J80" s="305"/>
    </row>
    <row r="81" spans="1:10" x14ac:dyDescent="0.25">
      <c r="A81" s="305"/>
      <c r="B81" s="286" t="str">
        <f>IF(C20="FRA",FRA!B81,ENG!B81)</f>
        <v>Chercheur Principal (1)</v>
      </c>
      <c r="C81" s="500">
        <f>C24</f>
        <v>0</v>
      </c>
      <c r="D81" s="501"/>
      <c r="E81" s="149"/>
      <c r="F81" s="149"/>
      <c r="G81" s="149"/>
      <c r="H81" s="150"/>
      <c r="I81" s="305"/>
      <c r="J81" s="305"/>
    </row>
    <row r="82" spans="1:10" x14ac:dyDescent="0.25">
      <c r="A82" s="305"/>
      <c r="B82" s="285" t="str">
        <f>IF(C20="FRA",FRA!B82,ENG!B82)</f>
        <v>Co-Chercheur Principal (2)</v>
      </c>
      <c r="C82" s="502" t="str">
        <f>IF(C25="","",C25)</f>
        <v/>
      </c>
      <c r="D82" s="503"/>
      <c r="E82" s="149"/>
      <c r="F82" s="149"/>
      <c r="G82" s="149"/>
      <c r="H82" s="150"/>
      <c r="I82" s="305"/>
      <c r="J82" s="305"/>
    </row>
    <row r="83" spans="1:10" x14ac:dyDescent="0.25">
      <c r="A83" s="305"/>
      <c r="B83" s="285" t="str">
        <f>IF(C20="FRA",FRA!B83,ENG!B83)</f>
        <v>Institution affiliée au chercheur principal (1)</v>
      </c>
      <c r="C83" s="502" t="str">
        <f>Etablissement</f>
        <v>Sélectionnez / Select</v>
      </c>
      <c r="D83" s="503"/>
      <c r="E83" s="149"/>
      <c r="F83" s="149"/>
      <c r="G83" s="149"/>
      <c r="H83" s="150"/>
      <c r="I83" s="305"/>
      <c r="J83" s="305"/>
    </row>
    <row r="84" spans="1:10" x14ac:dyDescent="0.25">
      <c r="A84" s="305"/>
      <c r="B84" s="285" t="str">
        <f>IF(C20="FRA",FRA!B85,ENG!B85)</f>
        <v>NMT (TRL)</v>
      </c>
      <c r="C84" s="502" t="str">
        <f>IF(TRL="Sélectionnez","",TRL)</f>
        <v>Sélectionnez / Select</v>
      </c>
      <c r="D84" s="503"/>
      <c r="E84" s="149"/>
      <c r="F84" s="149"/>
      <c r="G84" s="149"/>
      <c r="H84" s="150"/>
      <c r="I84" s="305"/>
      <c r="J84" s="305"/>
    </row>
    <row r="85" spans="1:10" ht="15.75" thickBot="1" x14ac:dyDescent="0.3">
      <c r="A85" s="305"/>
      <c r="B85" s="284" t="str">
        <f>IF(C20="FRA",FRA!B86,ENG!B86)</f>
        <v>Coût total admissible du projet (incluant FG, et Contribution en nature industrielle si NMT 4-5)</v>
      </c>
      <c r="C85" s="516">
        <f>G53</f>
        <v>0</v>
      </c>
      <c r="D85" s="517"/>
      <c r="E85" s="149"/>
      <c r="F85" s="149"/>
      <c r="G85" s="149"/>
      <c r="H85" s="150"/>
      <c r="I85" s="305"/>
      <c r="J85" s="305"/>
    </row>
    <row r="86" spans="1:10" x14ac:dyDescent="0.25">
      <c r="A86" s="305"/>
      <c r="B86" s="518" t="str">
        <f>IF(C20="FRA",FRA!B87,ENG!B87)</f>
        <v>Partenaires non publics (privés, industriels, OBNL, fondations)</v>
      </c>
      <c r="C86" s="521" t="str">
        <f>"- "&amp;B60</f>
        <v xml:space="preserve">- </v>
      </c>
      <c r="D86" s="522"/>
      <c r="E86" s="149"/>
      <c r="F86" s="149"/>
      <c r="G86" s="149"/>
      <c r="H86" s="150"/>
      <c r="I86" s="305"/>
      <c r="J86" s="305"/>
    </row>
    <row r="87" spans="1:10" x14ac:dyDescent="0.25">
      <c r="A87" s="305"/>
      <c r="B87" s="519"/>
      <c r="C87" s="523" t="str">
        <f>"- "&amp;B61</f>
        <v xml:space="preserve">- </v>
      </c>
      <c r="D87" s="524"/>
      <c r="E87" s="149"/>
      <c r="F87" s="149"/>
      <c r="G87" s="149"/>
      <c r="H87" s="150"/>
      <c r="I87" s="305"/>
      <c r="J87" s="305"/>
    </row>
    <row r="88" spans="1:10" x14ac:dyDescent="0.25">
      <c r="A88" s="305"/>
      <c r="B88" s="519"/>
      <c r="C88" s="523" t="str">
        <f>"- "&amp;B62</f>
        <v xml:space="preserve">- </v>
      </c>
      <c r="D88" s="524"/>
      <c r="E88" s="149"/>
      <c r="F88" s="149"/>
      <c r="G88" s="149"/>
      <c r="H88" s="150"/>
      <c r="I88" s="305"/>
      <c r="J88" s="305"/>
    </row>
    <row r="89" spans="1:10" ht="15.75" thickBot="1" x14ac:dyDescent="0.3">
      <c r="A89" s="305"/>
      <c r="B89" s="520"/>
      <c r="C89" s="525" t="str">
        <f>"- "&amp;B63</f>
        <v xml:space="preserve">- </v>
      </c>
      <c r="D89" s="526"/>
      <c r="E89" s="149"/>
      <c r="F89" s="149"/>
      <c r="G89" s="149"/>
      <c r="H89" s="150"/>
      <c r="I89" s="305"/>
      <c r="J89" s="305"/>
    </row>
    <row r="90" spans="1:10" ht="16.5" thickBot="1" x14ac:dyDescent="0.3">
      <c r="A90" s="305"/>
      <c r="B90" s="537" t="str">
        <f>IF(C20="FRA",FRA!B91,ENG!B91)</f>
        <v>Répartition du financement</v>
      </c>
      <c r="C90" s="538"/>
      <c r="D90" s="538"/>
      <c r="E90" s="538"/>
      <c r="F90" s="538"/>
      <c r="G90" s="538"/>
      <c r="H90" s="539"/>
      <c r="I90" s="305"/>
      <c r="J90" s="305"/>
    </row>
    <row r="91" spans="1:10" x14ac:dyDescent="0.25">
      <c r="A91" s="305"/>
      <c r="B91" s="245" t="str">
        <f>IF(C20="FRA",FRA!B92,ENG!B92)</f>
        <v>Partenaires financiers du projet</v>
      </c>
      <c r="C91" s="243" t="str">
        <f>IF(C20="FRA",FRA!C92,ENG!C92)</f>
        <v>Montant</v>
      </c>
      <c r="D91" s="247" t="s">
        <v>104</v>
      </c>
      <c r="E91" s="147"/>
      <c r="F91" s="147"/>
      <c r="G91" s="147"/>
      <c r="H91" s="148"/>
      <c r="I91" s="305"/>
      <c r="J91" s="305"/>
    </row>
    <row r="92" spans="1:10" x14ac:dyDescent="0.25">
      <c r="A92" s="305"/>
      <c r="B92" s="287" t="str">
        <f>IF(C20="FRA",FRA!B93,ENG!B93)</f>
        <v>Industriels</v>
      </c>
      <c r="C92" s="288" t="e">
        <f>C59+E59</f>
        <v>#DIV/0!</v>
      </c>
      <c r="D92" s="297" t="e">
        <f>D59+F59</f>
        <v>#DIV/0!</v>
      </c>
      <c r="E92" s="157"/>
      <c r="F92" s="157"/>
      <c r="G92" s="157"/>
      <c r="H92" s="158"/>
      <c r="I92" s="305"/>
      <c r="J92" s="305"/>
    </row>
    <row r="93" spans="1:10" x14ac:dyDescent="0.25">
      <c r="A93" s="305"/>
      <c r="B93" s="289" t="str">
        <f>IF(C20="FRA",FRA!B94,ENG!B94)</f>
        <v>Oncopole</v>
      </c>
      <c r="C93" s="290" t="e">
        <f t="shared" ref="C93:D96" si="9">C70</f>
        <v>#DIV/0!</v>
      </c>
      <c r="D93" s="298" t="e">
        <f t="shared" si="9"/>
        <v>#DIV/0!</v>
      </c>
      <c r="E93" s="149"/>
      <c r="F93" s="149"/>
      <c r="G93" s="149"/>
      <c r="H93" s="150"/>
      <c r="I93" s="305"/>
      <c r="J93" s="305"/>
    </row>
    <row r="94" spans="1:10" x14ac:dyDescent="0.25">
      <c r="A94" s="305"/>
      <c r="B94" s="289" t="str">
        <f>IF(C20="FRA",FRA!B95,ENG!B95)</f>
        <v>SRC</v>
      </c>
      <c r="C94" s="290" t="e">
        <f t="shared" si="9"/>
        <v>#DIV/0!</v>
      </c>
      <c r="D94" s="298" t="e">
        <f t="shared" si="9"/>
        <v>#DIV/0!</v>
      </c>
      <c r="E94" s="149"/>
      <c r="F94" s="149"/>
      <c r="G94" s="149"/>
      <c r="H94" s="150"/>
      <c r="I94" s="305"/>
      <c r="J94" s="305"/>
    </row>
    <row r="95" spans="1:10" x14ac:dyDescent="0.25">
      <c r="A95" s="305"/>
      <c r="B95" s="289" t="str">
        <f>IF(C20="FRA",FRA!B96,ENG!B96)</f>
        <v>MEDTEQ</v>
      </c>
      <c r="C95" s="290">
        <f t="shared" si="9"/>
        <v>0</v>
      </c>
      <c r="D95" s="298" t="e">
        <f t="shared" si="9"/>
        <v>#DIV/0!</v>
      </c>
      <c r="E95" s="149"/>
      <c r="F95" s="149"/>
      <c r="G95" s="149"/>
      <c r="H95" s="150"/>
      <c r="I95" s="305"/>
      <c r="J95" s="305"/>
    </row>
    <row r="96" spans="1:10" ht="15.75" thickBot="1" x14ac:dyDescent="0.3">
      <c r="A96" s="305"/>
      <c r="B96" s="299" t="str">
        <f>IF(C20="FRA",FRA!B97,ENG!B97)</f>
        <v>Institut TransMedTech</v>
      </c>
      <c r="C96" s="300">
        <f t="shared" si="9"/>
        <v>0</v>
      </c>
      <c r="D96" s="301" t="e">
        <f t="shared" si="9"/>
        <v>#DIV/0!</v>
      </c>
      <c r="E96" s="149"/>
      <c r="F96" s="149"/>
      <c r="G96" s="149"/>
      <c r="H96" s="150"/>
      <c r="I96" s="305"/>
      <c r="J96" s="305"/>
    </row>
    <row r="97" spans="1:10" ht="15.75" thickBot="1" x14ac:dyDescent="0.3">
      <c r="A97" s="305"/>
      <c r="B97" s="357" t="s">
        <v>153</v>
      </c>
      <c r="C97" s="358" t="e">
        <f>SUM(C92:C96)</f>
        <v>#DIV/0!</v>
      </c>
      <c r="D97" s="359" t="e">
        <f>SUM(D92:D96)</f>
        <v>#DIV/0!</v>
      </c>
      <c r="E97" s="149"/>
      <c r="F97" s="149"/>
      <c r="G97" s="149"/>
      <c r="H97" s="150"/>
      <c r="I97" s="305"/>
      <c r="J97" s="305"/>
    </row>
    <row r="98" spans="1:10" ht="16.5" thickBot="1" x14ac:dyDescent="0.3">
      <c r="A98" s="305"/>
      <c r="B98" s="537" t="str">
        <f>IF(C20="FRA",FRA!B98,ENG!B98)</f>
        <v>Détail de la contribution industrielle</v>
      </c>
      <c r="C98" s="538"/>
      <c r="D98" s="538"/>
      <c r="E98" s="538"/>
      <c r="F98" s="538"/>
      <c r="G98" s="538"/>
      <c r="H98" s="539"/>
      <c r="I98" s="305"/>
      <c r="J98" s="305"/>
    </row>
    <row r="99" spans="1:10" x14ac:dyDescent="0.25">
      <c r="A99" s="305"/>
      <c r="B99" s="245" t="str">
        <f>IF(C20="FRA",FRA!B99,ENG!B99)</f>
        <v>Industriels</v>
      </c>
      <c r="C99" s="242" t="str">
        <f>IF(C20="FRA",FRA!C99,ENG!C99)</f>
        <v>Montant au projet</v>
      </c>
      <c r="D99" s="242" t="str">
        <f>IF(C20="FRA",FRA!D99,ENG!D99)</f>
        <v>FG</v>
      </c>
      <c r="E99" s="242" t="str">
        <f>IF(C20="FRA",FRA!E99,ENG!E99)</f>
        <v>FIR</v>
      </c>
      <c r="F99" s="513" t="str">
        <f>IF(C20="FRA",FRA!F99,ENG!F99)</f>
        <v>Frais d'adhésion</v>
      </c>
      <c r="G99" s="514"/>
      <c r="H99" s="248" t="str">
        <f>IF(C20="FRA",FRA!H99,ENG!H99)</f>
        <v>Total</v>
      </c>
      <c r="I99" s="305"/>
      <c r="J99" s="305"/>
    </row>
    <row r="100" spans="1:10" x14ac:dyDescent="0.25">
      <c r="A100" s="305"/>
      <c r="B100" s="291" t="str">
        <f>B60</f>
        <v/>
      </c>
      <c r="C100" s="290" t="e">
        <f>C60+E60-D100</f>
        <v>#DIV/0!</v>
      </c>
      <c r="D100" s="288" t="e">
        <f>$G47*(FIR_Ind/D59)</f>
        <v>#DIV/0!</v>
      </c>
      <c r="E100" s="290">
        <f>G60</f>
        <v>0</v>
      </c>
      <c r="F100" s="515">
        <f>H60</f>
        <v>0</v>
      </c>
      <c r="G100" s="515"/>
      <c r="H100" s="292" t="e">
        <f>SUM(C100:G100)</f>
        <v>#DIV/0!</v>
      </c>
      <c r="I100" s="305"/>
      <c r="J100" s="305"/>
    </row>
    <row r="101" spans="1:10" x14ac:dyDescent="0.25">
      <c r="A101" s="305"/>
      <c r="B101" s="291" t="str">
        <f>B61</f>
        <v/>
      </c>
      <c r="C101" s="290" t="e">
        <f>C61+E61-D101</f>
        <v>#DIV/0!</v>
      </c>
      <c r="D101" s="288" t="e">
        <f>G47*D61/D59</f>
        <v>#DIV/0!</v>
      </c>
      <c r="E101" s="290">
        <f>G61</f>
        <v>0</v>
      </c>
      <c r="F101" s="515">
        <f>H61</f>
        <v>0</v>
      </c>
      <c r="G101" s="515"/>
      <c r="H101" s="292" t="e">
        <f t="shared" ref="H101:H103" si="10">SUM(C101:G101)</f>
        <v>#DIV/0!</v>
      </c>
      <c r="I101" s="305"/>
      <c r="J101" s="305"/>
    </row>
    <row r="102" spans="1:10" x14ac:dyDescent="0.25">
      <c r="A102" s="305"/>
      <c r="B102" s="291" t="str">
        <f>B62</f>
        <v/>
      </c>
      <c r="C102" s="290" t="e">
        <f>C62+E62-D102</f>
        <v>#DIV/0!</v>
      </c>
      <c r="D102" s="288" t="e">
        <f>$G47*(D62/D59)</f>
        <v>#DIV/0!</v>
      </c>
      <c r="E102" s="290">
        <f t="shared" ref="E102:E103" si="11">G62</f>
        <v>0</v>
      </c>
      <c r="F102" s="515">
        <f>H62</f>
        <v>0</v>
      </c>
      <c r="G102" s="515"/>
      <c r="H102" s="292" t="e">
        <f t="shared" si="10"/>
        <v>#DIV/0!</v>
      </c>
      <c r="I102" s="305"/>
      <c r="J102" s="305"/>
    </row>
    <row r="103" spans="1:10" ht="15.75" thickBot="1" x14ac:dyDescent="0.3">
      <c r="A103" s="305"/>
      <c r="B103" s="293" t="str">
        <f>B63</f>
        <v/>
      </c>
      <c r="C103" s="295" t="e">
        <f>C63+E63-D103</f>
        <v>#DIV/0!</v>
      </c>
      <c r="D103" s="294" t="e">
        <f>$G47*(D63/D59)</f>
        <v>#DIV/0!</v>
      </c>
      <c r="E103" s="295">
        <f t="shared" si="11"/>
        <v>0</v>
      </c>
      <c r="F103" s="512">
        <f>H63</f>
        <v>0</v>
      </c>
      <c r="G103" s="512"/>
      <c r="H103" s="296" t="e">
        <f t="shared" si="10"/>
        <v>#DIV/0!</v>
      </c>
      <c r="I103" s="305"/>
      <c r="J103" s="305"/>
    </row>
    <row r="104" spans="1:10" x14ac:dyDescent="0.25">
      <c r="A104" s="305"/>
      <c r="B104" s="305"/>
      <c r="C104" s="305"/>
      <c r="D104" s="305"/>
      <c r="E104" s="305"/>
      <c r="F104" s="305"/>
      <c r="G104" s="305"/>
      <c r="H104" s="305"/>
      <c r="I104" s="305"/>
      <c r="J104" s="305"/>
    </row>
    <row r="105" spans="1:10" x14ac:dyDescent="0.25">
      <c r="A105" s="305"/>
      <c r="B105" s="305" t="s">
        <v>328</v>
      </c>
      <c r="C105" s="305"/>
      <c r="D105" s="305"/>
      <c r="E105" s="305"/>
      <c r="F105" s="305"/>
      <c r="G105" s="305"/>
      <c r="H105" s="305"/>
      <c r="I105" s="305"/>
      <c r="J105" s="305"/>
    </row>
    <row r="106" spans="1:10" x14ac:dyDescent="0.25">
      <c r="A106" s="305"/>
      <c r="B106" s="305" t="s">
        <v>329</v>
      </c>
      <c r="C106" s="305"/>
      <c r="D106" s="305"/>
      <c r="E106" s="305"/>
      <c r="F106" s="305"/>
      <c r="G106" s="305"/>
      <c r="H106" s="305"/>
      <c r="I106" s="305"/>
      <c r="J106" s="305"/>
    </row>
    <row r="107" spans="1:10" x14ac:dyDescent="0.25">
      <c r="A107" s="305"/>
      <c r="B107" s="305" t="s">
        <v>330</v>
      </c>
      <c r="C107" s="305"/>
      <c r="D107" s="305"/>
      <c r="E107" s="305"/>
      <c r="F107" s="305"/>
      <c r="G107" s="305"/>
      <c r="H107" s="305"/>
      <c r="I107" s="305"/>
      <c r="J107" s="305"/>
    </row>
    <row r="108" spans="1:10" x14ac:dyDescent="0.25">
      <c r="A108" s="305"/>
      <c r="B108" s="305" t="s">
        <v>331</v>
      </c>
      <c r="C108" s="305"/>
      <c r="D108" s="305"/>
      <c r="E108" s="305"/>
      <c r="F108" s="305"/>
      <c r="G108" s="305"/>
      <c r="H108" s="305"/>
      <c r="I108" s="305"/>
      <c r="J108" s="305"/>
    </row>
    <row r="109" spans="1:10" x14ac:dyDescent="0.25">
      <c r="A109" s="305"/>
      <c r="C109" s="305"/>
      <c r="D109" s="305"/>
      <c r="E109" s="305"/>
      <c r="F109" s="305"/>
      <c r="G109" s="305"/>
      <c r="H109" s="305"/>
      <c r="I109" s="305"/>
      <c r="J109" s="305"/>
    </row>
    <row r="110" spans="1:10" x14ac:dyDescent="0.25">
      <c r="A110" s="305"/>
      <c r="B110" s="305" t="s">
        <v>327</v>
      </c>
      <c r="C110" s="305"/>
      <c r="D110" s="305"/>
      <c r="E110" s="305"/>
      <c r="F110" s="305"/>
      <c r="G110" s="305"/>
      <c r="H110" s="305"/>
      <c r="I110" s="305"/>
      <c r="J110" s="305"/>
    </row>
    <row r="111" spans="1:10" x14ac:dyDescent="0.25">
      <c r="A111" s="305"/>
      <c r="B111" s="305" t="s">
        <v>333</v>
      </c>
      <c r="C111" s="305"/>
      <c r="D111" s="305"/>
      <c r="E111" s="305"/>
      <c r="F111" s="305"/>
      <c r="G111" s="305"/>
      <c r="H111" s="305"/>
      <c r="I111" s="305"/>
      <c r="J111" s="305"/>
    </row>
    <row r="112" spans="1:10" x14ac:dyDescent="0.25">
      <c r="A112" s="305"/>
      <c r="B112" s="305" t="s">
        <v>370</v>
      </c>
      <c r="C112" s="305"/>
      <c r="D112" s="305"/>
      <c r="E112" s="305"/>
      <c r="F112" s="305"/>
      <c r="G112" s="305"/>
      <c r="H112" s="305"/>
      <c r="I112" s="305"/>
      <c r="J112" s="305"/>
    </row>
    <row r="113" spans="1:10" x14ac:dyDescent="0.25">
      <c r="A113" s="305"/>
      <c r="C113" s="305"/>
      <c r="D113" s="305"/>
      <c r="E113" s="305"/>
      <c r="F113" s="305"/>
      <c r="G113" s="305"/>
      <c r="H113" s="305"/>
      <c r="I113" s="305"/>
      <c r="J113" s="305"/>
    </row>
    <row r="114" spans="1:10" x14ac:dyDescent="0.25">
      <c r="A114" s="305"/>
      <c r="B114" s="305"/>
      <c r="C114" s="305"/>
      <c r="D114" s="305"/>
      <c r="E114" s="305"/>
      <c r="F114" s="305"/>
      <c r="G114" s="305"/>
      <c r="H114" s="305"/>
      <c r="I114" s="305"/>
      <c r="J114" s="305"/>
    </row>
    <row r="115" spans="1:10" x14ac:dyDescent="0.25">
      <c r="A115" s="305"/>
      <c r="B115" s="305"/>
      <c r="C115" s="305"/>
      <c r="D115" s="305"/>
      <c r="E115" s="305"/>
      <c r="F115" s="305"/>
      <c r="G115" s="305"/>
      <c r="H115" s="305"/>
      <c r="I115" s="305"/>
      <c r="J115" s="305"/>
    </row>
    <row r="116" spans="1:10" x14ac:dyDescent="0.25">
      <c r="A116" s="305"/>
      <c r="B116" s="305"/>
      <c r="C116" s="305"/>
      <c r="D116" s="305"/>
      <c r="E116" s="305"/>
      <c r="F116" s="305"/>
      <c r="G116" s="305"/>
      <c r="H116" s="305"/>
      <c r="I116" s="305"/>
      <c r="J116" s="305"/>
    </row>
    <row r="117" spans="1:10" x14ac:dyDescent="0.25">
      <c r="A117" s="305"/>
      <c r="B117" s="305"/>
      <c r="C117" s="305"/>
      <c r="D117" s="305"/>
      <c r="E117" s="305"/>
      <c r="F117" s="305"/>
      <c r="G117" s="305"/>
      <c r="H117" s="305"/>
      <c r="I117" s="305"/>
      <c r="J117" s="305"/>
    </row>
    <row r="118" spans="1:10" x14ac:dyDescent="0.25">
      <c r="A118" s="305"/>
      <c r="B118" s="305"/>
      <c r="C118" s="305"/>
      <c r="D118" s="305"/>
      <c r="E118" s="305"/>
      <c r="F118" s="305"/>
      <c r="G118" s="305"/>
      <c r="H118" s="305"/>
      <c r="I118" s="305"/>
      <c r="J118" s="305"/>
    </row>
    <row r="119" spans="1:10" x14ac:dyDescent="0.25">
      <c r="A119" s="305"/>
      <c r="B119" s="305"/>
      <c r="C119" s="305"/>
      <c r="D119" s="305"/>
      <c r="E119" s="305"/>
      <c r="F119" s="305"/>
      <c r="G119" s="305"/>
      <c r="H119" s="305"/>
      <c r="I119" s="305"/>
      <c r="J119" s="305"/>
    </row>
    <row r="120" spans="1:10" x14ac:dyDescent="0.25">
      <c r="A120" s="305"/>
      <c r="B120" s="305"/>
      <c r="C120" s="305"/>
      <c r="D120" s="305"/>
      <c r="E120" s="305"/>
      <c r="F120" s="305"/>
      <c r="G120" s="305"/>
      <c r="H120" s="305"/>
      <c r="I120" s="305"/>
      <c r="J120" s="305"/>
    </row>
    <row r="121" spans="1:10" x14ac:dyDescent="0.25">
      <c r="A121" s="305"/>
      <c r="B121" s="305"/>
      <c r="C121" s="305"/>
      <c r="D121" s="305"/>
      <c r="E121" s="305"/>
      <c r="F121" s="305"/>
      <c r="G121" s="305"/>
      <c r="H121" s="305"/>
      <c r="I121" s="305"/>
      <c r="J121" s="305"/>
    </row>
    <row r="122" spans="1:10" x14ac:dyDescent="0.25">
      <c r="A122" s="305"/>
      <c r="B122" s="305"/>
      <c r="C122" s="305"/>
      <c r="D122" s="305"/>
      <c r="E122" s="305"/>
      <c r="F122" s="305"/>
      <c r="G122" s="305"/>
      <c r="H122" s="305"/>
      <c r="I122" s="305"/>
      <c r="J122" s="305"/>
    </row>
    <row r="123" spans="1:10" x14ac:dyDescent="0.25">
      <c r="A123" s="305"/>
      <c r="B123" s="305"/>
      <c r="C123" s="305"/>
      <c r="D123" s="305"/>
      <c r="E123" s="305"/>
      <c r="F123" s="305"/>
      <c r="G123" s="305"/>
      <c r="H123" s="305"/>
      <c r="I123" s="305"/>
      <c r="J123" s="305"/>
    </row>
    <row r="124" spans="1:10" x14ac:dyDescent="0.25">
      <c r="A124" s="305"/>
      <c r="B124" s="305"/>
      <c r="C124" s="305"/>
      <c r="D124" s="305"/>
      <c r="E124" s="305"/>
      <c r="F124" s="305"/>
      <c r="G124" s="305"/>
      <c r="H124" s="305"/>
      <c r="I124" s="305"/>
      <c r="J124" s="305"/>
    </row>
    <row r="125" spans="1:10" x14ac:dyDescent="0.25">
      <c r="A125" s="305"/>
      <c r="B125" s="305"/>
      <c r="C125" s="305"/>
      <c r="D125" s="305"/>
      <c r="E125" s="305"/>
      <c r="F125" s="305"/>
      <c r="G125" s="305"/>
      <c r="H125" s="305"/>
      <c r="I125" s="305"/>
      <c r="J125" s="305"/>
    </row>
    <row r="126" spans="1:10" x14ac:dyDescent="0.25">
      <c r="A126" s="305"/>
      <c r="B126" s="305"/>
      <c r="C126" s="305"/>
      <c r="D126" s="305"/>
      <c r="E126" s="305"/>
      <c r="F126" s="305"/>
      <c r="G126" s="305"/>
      <c r="H126" s="305"/>
      <c r="I126" s="305"/>
      <c r="J126" s="305"/>
    </row>
    <row r="127" spans="1:10" x14ac:dyDescent="0.25">
      <c r="A127" s="305"/>
      <c r="B127" s="305"/>
      <c r="C127" s="305"/>
      <c r="D127" s="305"/>
      <c r="E127" s="305"/>
      <c r="F127" s="305"/>
      <c r="G127" s="305"/>
      <c r="H127" s="305"/>
      <c r="I127" s="305"/>
      <c r="J127" s="305"/>
    </row>
    <row r="128" spans="1:10" x14ac:dyDescent="0.25">
      <c r="A128" s="305"/>
      <c r="B128" s="305"/>
      <c r="C128" s="305"/>
      <c r="D128" s="305"/>
      <c r="E128" s="305"/>
      <c r="F128" s="305"/>
      <c r="G128" s="305"/>
      <c r="H128" s="305"/>
      <c r="I128" s="305"/>
      <c r="J128" s="305"/>
    </row>
  </sheetData>
  <sheetProtection algorithmName="SHA-512" hashValue="17Nlg/q6irbsyTvvivxDLTfXh0QxmN1wilJeSY7arR7jx81ii2ZKdKhS7TcBCWQbSdN2zAyTNWNEk+MSAmB0PQ==" saltValue="VLgD2fCLXwNo62nfrG5a8A==" spinCount="100000" sheet="1" formatCells="0" formatColumns="0" formatRows="0"/>
  <protectedRanges>
    <protectedRange sqref="C20:C25" name="Info projet"/>
    <protectedRange sqref="E22:I25" name="Info industriels"/>
    <protectedRange sqref="C30:F32 C34:F36 C38:F40 C42:F42 G51" name="Budget de recherche"/>
    <protectedRange sqref="C60:C63 E60:E63" name="Coût des industriels"/>
  </protectedRanges>
  <mergeCells count="94">
    <mergeCell ref="E33:F33"/>
    <mergeCell ref="E25:F25"/>
    <mergeCell ref="C34:D34"/>
    <mergeCell ref="E34:F34"/>
    <mergeCell ref="C35:D35"/>
    <mergeCell ref="E35:F35"/>
    <mergeCell ref="C28:D28"/>
    <mergeCell ref="E28:F28"/>
    <mergeCell ref="C29:D29"/>
    <mergeCell ref="E29:F29"/>
    <mergeCell ref="B27:G27"/>
    <mergeCell ref="C32:D32"/>
    <mergeCell ref="E32:F32"/>
    <mergeCell ref="C33:D33"/>
    <mergeCell ref="B16:I16"/>
    <mergeCell ref="C30:D30"/>
    <mergeCell ref="E30:F30"/>
    <mergeCell ref="C31:D31"/>
    <mergeCell ref="E31:F31"/>
    <mergeCell ref="B19:C19"/>
    <mergeCell ref="E20:I20"/>
    <mergeCell ref="E21:F21"/>
    <mergeCell ref="E22:F22"/>
    <mergeCell ref="E23:F23"/>
    <mergeCell ref="E24:F24"/>
    <mergeCell ref="B17:I17"/>
    <mergeCell ref="B13:I13"/>
    <mergeCell ref="B11:I11"/>
    <mergeCell ref="B12:I12"/>
    <mergeCell ref="B14:I14"/>
    <mergeCell ref="B15:I15"/>
    <mergeCell ref="F103:G103"/>
    <mergeCell ref="C84:D84"/>
    <mergeCell ref="C83:D83"/>
    <mergeCell ref="C85:D85"/>
    <mergeCell ref="C86:D86"/>
    <mergeCell ref="C87:D87"/>
    <mergeCell ref="C88:D88"/>
    <mergeCell ref="C89:D89"/>
    <mergeCell ref="B98:H98"/>
    <mergeCell ref="B90:H90"/>
    <mergeCell ref="F99:G99"/>
    <mergeCell ref="F100:G100"/>
    <mergeCell ref="F101:G101"/>
    <mergeCell ref="F102:G102"/>
    <mergeCell ref="B86:B89"/>
    <mergeCell ref="C81:D81"/>
    <mergeCell ref="C82:D82"/>
    <mergeCell ref="C67:F67"/>
    <mergeCell ref="C68:D68"/>
    <mergeCell ref="E68:F68"/>
    <mergeCell ref="B80:H80"/>
    <mergeCell ref="B77:H78"/>
    <mergeCell ref="H72:I72"/>
    <mergeCell ref="H73:I73"/>
    <mergeCell ref="H74:I74"/>
    <mergeCell ref="H71:I71"/>
    <mergeCell ref="H68:I68"/>
    <mergeCell ref="H69:I69"/>
    <mergeCell ref="H70:I70"/>
    <mergeCell ref="C39:D39"/>
    <mergeCell ref="E39:F39"/>
    <mergeCell ref="C40:D40"/>
    <mergeCell ref="E40:F40"/>
    <mergeCell ref="C43:D43"/>
    <mergeCell ref="E43:F43"/>
    <mergeCell ref="C36:D36"/>
    <mergeCell ref="E36:F36"/>
    <mergeCell ref="C37:D37"/>
    <mergeCell ref="E37:F37"/>
    <mergeCell ref="C38:D38"/>
    <mergeCell ref="E38:F38"/>
    <mergeCell ref="E49:F49"/>
    <mergeCell ref="C65:F65"/>
    <mergeCell ref="C52:D52"/>
    <mergeCell ref="B56:B57"/>
    <mergeCell ref="C56:F56"/>
    <mergeCell ref="C57:D57"/>
    <mergeCell ref="G56:G57"/>
    <mergeCell ref="B55:I55"/>
    <mergeCell ref="C41:D41"/>
    <mergeCell ref="E41:F41"/>
    <mergeCell ref="E42:F42"/>
    <mergeCell ref="E57:F57"/>
    <mergeCell ref="C47:D47"/>
    <mergeCell ref="E47:F47"/>
    <mergeCell ref="C45:D45"/>
    <mergeCell ref="E45:F45"/>
    <mergeCell ref="C46:D46"/>
    <mergeCell ref="E46:F46"/>
    <mergeCell ref="H56:H58"/>
    <mergeCell ref="I56:I57"/>
    <mergeCell ref="C42:D42"/>
    <mergeCell ref="C49:D49"/>
  </mergeCells>
  <conditionalFormatting sqref="C39:C40 E39:E40">
    <cfRule type="containsBlanks" dxfId="28" priority="58">
      <formula>LEN(TRIM(C39))=0</formula>
    </cfRule>
  </conditionalFormatting>
  <conditionalFormatting sqref="C30:C32 E31">
    <cfRule type="containsBlanks" dxfId="27" priority="57">
      <formula>LEN(TRIM(C30))=0</formula>
    </cfRule>
  </conditionalFormatting>
  <conditionalFormatting sqref="E30">
    <cfRule type="containsBlanks" dxfId="26" priority="56">
      <formula>LEN(TRIM(E30))=0</formula>
    </cfRule>
  </conditionalFormatting>
  <conditionalFormatting sqref="E32">
    <cfRule type="containsBlanks" dxfId="25" priority="55">
      <formula>LEN(TRIM(E32))=0</formula>
    </cfRule>
  </conditionalFormatting>
  <conditionalFormatting sqref="C34:C36 E34:E36">
    <cfRule type="containsBlanks" dxfId="24" priority="54">
      <formula>LEN(TRIM(C34))=0</formula>
    </cfRule>
  </conditionalFormatting>
  <conditionalFormatting sqref="C38 E38">
    <cfRule type="containsBlanks" dxfId="23" priority="53">
      <formula>LEN(TRIM(C38))=0</formula>
    </cfRule>
  </conditionalFormatting>
  <conditionalFormatting sqref="E42">
    <cfRule type="containsBlanks" dxfId="22" priority="52">
      <formula>LEN(TRIM(E42))=0</formula>
    </cfRule>
  </conditionalFormatting>
  <conditionalFormatting sqref="C42">
    <cfRule type="containsBlanks" dxfId="21" priority="51">
      <formula>LEN(TRIM(C42))=0</formula>
    </cfRule>
  </conditionalFormatting>
  <conditionalFormatting sqref="C25 C20:C23">
    <cfRule type="cellIs" dxfId="20" priority="43" operator="equal">
      <formula>"Sélectionnez"</formula>
    </cfRule>
  </conditionalFormatting>
  <conditionalFormatting sqref="B65">
    <cfRule type="expression" dxfId="19" priority="38">
      <formula>$D$38=Mitacs</formula>
    </cfRule>
  </conditionalFormatting>
  <conditionalFormatting sqref="C65">
    <cfRule type="cellIs" dxfId="18" priority="13" operator="equal">
      <formula>"OK"</formula>
    </cfRule>
  </conditionalFormatting>
  <conditionalFormatting sqref="C20:C25">
    <cfRule type="cellIs" dxfId="17" priority="19" operator="equal">
      <formula>"Sélectionnez / Select"</formula>
    </cfRule>
  </conditionalFormatting>
  <conditionalFormatting sqref="C64:F64">
    <cfRule type="cellIs" dxfId="16" priority="16" operator="lessThan">
      <formula>0</formula>
    </cfRule>
    <cfRule type="cellIs" dxfId="15" priority="17" operator="greaterThan">
      <formula>0</formula>
    </cfRule>
    <cfRule type="cellIs" dxfId="14" priority="18" operator="equal">
      <formula>0</formula>
    </cfRule>
  </conditionalFormatting>
  <conditionalFormatting sqref="C24:C25">
    <cfRule type="cellIs" dxfId="13" priority="3" operator="equal">
      <formula>""</formula>
    </cfRule>
    <cfRule type="cellIs" dxfId="12" priority="9" operator="equal">
      <formula>"Entrer le nom"</formula>
    </cfRule>
  </conditionalFormatting>
  <conditionalFormatting sqref="C65:F65">
    <cfRule type="cellIs" dxfId="11" priority="8" operator="notEqual">
      <formula>"OK"</formula>
    </cfRule>
  </conditionalFormatting>
  <conditionalFormatting sqref="C24">
    <cfRule type="cellIs" dxfId="10" priority="4" operator="equal">
      <formula>"Sélectionnez"</formula>
    </cfRule>
  </conditionalFormatting>
  <conditionalFormatting sqref="B73:H73">
    <cfRule type="cellIs" dxfId="9" priority="2" operator="equal">
      <formula>""</formula>
    </cfRule>
  </conditionalFormatting>
  <conditionalFormatting sqref="G22:I25">
    <cfRule type="cellIs" dxfId="8" priority="1" operator="equal">
      <formula>"Sélectionnez / Select"</formula>
    </cfRule>
  </conditionalFormatting>
  <conditionalFormatting sqref="G51">
    <cfRule type="cellIs" dxfId="7" priority="66" operator="lessThanOrEqual">
      <formula>IF($C$21="2-3",0,0.25*$G$49)</formula>
    </cfRule>
    <cfRule type="cellIs" dxfId="6" priority="67" operator="greaterThan">
      <formula>IF($C$21="2-3",0,$G$49*0.25)</formula>
    </cfRule>
  </conditionalFormatting>
  <dataValidations count="2">
    <dataValidation type="whole" allowBlank="1" showInputMessage="1" showErrorMessage="1" error="Les montants doivent être des nombres entiers" sqref="C29:G43">
      <formula1>0</formula1>
      <formula2>99999999999</formula2>
    </dataValidation>
    <dataValidation type="list" allowBlank="1" showInputMessage="1" showErrorMessage="1" sqref="C20">
      <formula1>"FRA,ENG"</formula1>
    </dataValidation>
  </dataValidations>
  <pageMargins left="0.7" right="0.7" top="0.75" bottom="0.75" header="0.3" footer="0.3"/>
  <pageSetup scale="36" fitToHeight="0" orientation="portrait" verticalDpi="12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Feuil1!$G$31:$G$33</xm:f>
          </x14:formula1>
          <xm:sqref>C21</xm:sqref>
        </x14:dataValidation>
        <x14:dataValidation type="list" allowBlank="1" showInputMessage="1" showErrorMessage="1">
          <x14:formula1>
            <xm:f>Feuil1!$H$31:$H$33</xm:f>
          </x14:formula1>
          <xm:sqref>C22</xm:sqref>
        </x14:dataValidation>
        <x14:dataValidation type="list" allowBlank="1" showInputMessage="1" showErrorMessage="1">
          <x14:formula1>
            <xm:f>Feuil1!$J$31:$J$33</xm:f>
          </x14:formula1>
          <xm:sqref>H22:H25</xm:sqref>
        </x14:dataValidation>
        <x14:dataValidation type="list" allowBlank="1" showInputMessage="1" showErrorMessage="1">
          <x14:formula1>
            <xm:f>Feuil1!$K$31:$K$36</xm:f>
          </x14:formula1>
          <xm:sqref>I22:I25</xm:sqref>
        </x14:dataValidation>
        <x14:dataValidation type="list" allowBlank="1" showInputMessage="1" showErrorMessage="1">
          <x14:formula1>
            <xm:f>Feuil1!$D$68:$D$84</xm:f>
          </x14:formula1>
          <xm:sqref>G22:G25</xm:sqref>
        </x14:dataValidation>
        <x14:dataValidation type="list" allowBlank="1" showInputMessage="1" showErrorMessage="1">
          <x14:formula1>
            <xm:f>Feuil1!$D$42:$D$64</xm:f>
          </x14:formula1>
          <xm:sqref>C23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election activeCell="Q19" sqref="Q19"/>
    </sheetView>
  </sheetViews>
  <sheetFormatPr baseColWidth="10" defaultColWidth="9.140625" defaultRowHeight="15" x14ac:dyDescent="0.25"/>
  <cols>
    <col min="2" max="2" width="34.5703125" customWidth="1"/>
    <col min="3" max="6" width="16.7109375" customWidth="1"/>
    <col min="8" max="8" width="14.85546875" customWidth="1"/>
  </cols>
  <sheetData>
    <row r="1" spans="2:8" ht="15.75" thickBot="1" x14ac:dyDescent="0.3"/>
    <row r="2" spans="2:8" ht="16.5" thickBot="1" x14ac:dyDescent="0.3">
      <c r="B2" s="428" t="s">
        <v>90</v>
      </c>
      <c r="C2" s="429"/>
      <c r="D2" s="429"/>
      <c r="E2" s="429"/>
      <c r="F2" s="429"/>
      <c r="G2" s="429"/>
      <c r="H2" s="430"/>
    </row>
    <row r="3" spans="2:8" ht="15.75" thickBot="1" x14ac:dyDescent="0.3">
      <c r="B3" s="210" t="str">
        <f>'Budget de projet'!B28</f>
        <v>ANNÉE</v>
      </c>
      <c r="C3" s="431">
        <v>1</v>
      </c>
      <c r="D3" s="432"/>
      <c r="E3" s="431">
        <v>2</v>
      </c>
      <c r="F3" s="432"/>
      <c r="G3" s="431" t="s">
        <v>59</v>
      </c>
      <c r="H3" s="433"/>
    </row>
    <row r="4" spans="2:8" x14ac:dyDescent="0.25">
      <c r="B4" s="183" t="s">
        <v>70</v>
      </c>
      <c r="C4" s="434">
        <f>SUM(C5:C7)</f>
        <v>0</v>
      </c>
      <c r="D4" s="435"/>
      <c r="E4" s="434">
        <f>SUM(E5:E7)</f>
        <v>0</v>
      </c>
      <c r="F4" s="435"/>
      <c r="G4" s="436">
        <f>SUM(C4:F4)</f>
        <v>0</v>
      </c>
      <c r="H4" s="437"/>
    </row>
    <row r="5" spans="2:8" x14ac:dyDescent="0.25">
      <c r="B5" s="188" t="s">
        <v>71</v>
      </c>
      <c r="C5" s="554">
        <f>'Budget de projet'!C30:D30</f>
        <v>0</v>
      </c>
      <c r="D5" s="555"/>
      <c r="E5" s="554">
        <f>'Budget de projet'!E30:F30</f>
        <v>0</v>
      </c>
      <c r="F5" s="555"/>
      <c r="G5" s="426">
        <f>SUM(C5:F5)</f>
        <v>0</v>
      </c>
      <c r="H5" s="427"/>
    </row>
    <row r="6" spans="2:8" x14ac:dyDescent="0.25">
      <c r="B6" s="188" t="s">
        <v>72</v>
      </c>
      <c r="C6" s="554">
        <f>'Budget de projet'!C31:D31</f>
        <v>0</v>
      </c>
      <c r="D6" s="555"/>
      <c r="E6" s="554">
        <f>'Budget de projet'!E31:F31</f>
        <v>0</v>
      </c>
      <c r="F6" s="555"/>
      <c r="G6" s="426">
        <f t="shared" ref="G6:G17" si="0">SUM(C6:F6)</f>
        <v>0</v>
      </c>
      <c r="H6" s="427"/>
    </row>
    <row r="7" spans="2:8" x14ac:dyDescent="0.25">
      <c r="B7" s="189" t="s">
        <v>73</v>
      </c>
      <c r="C7" s="554">
        <f>'Budget de projet'!C32:D32</f>
        <v>0</v>
      </c>
      <c r="D7" s="555"/>
      <c r="E7" s="554">
        <f>'Budget de projet'!E32:F32</f>
        <v>0</v>
      </c>
      <c r="F7" s="555"/>
      <c r="G7" s="426">
        <f t="shared" si="0"/>
        <v>0</v>
      </c>
      <c r="H7" s="427"/>
    </row>
    <row r="8" spans="2:8" x14ac:dyDescent="0.25">
      <c r="B8" s="184" t="s">
        <v>74</v>
      </c>
      <c r="C8" s="438">
        <f>SUM(C9:C11)</f>
        <v>0</v>
      </c>
      <c r="D8" s="439"/>
      <c r="E8" s="438">
        <f>SUM(E9:E11)</f>
        <v>0</v>
      </c>
      <c r="F8" s="439"/>
      <c r="G8" s="440">
        <f t="shared" si="0"/>
        <v>0</v>
      </c>
      <c r="H8" s="441"/>
    </row>
    <row r="9" spans="2:8" x14ac:dyDescent="0.25">
      <c r="B9" s="190" t="s">
        <v>75</v>
      </c>
      <c r="C9" s="554">
        <f>'Budget de projet'!C34:D34</f>
        <v>0</v>
      </c>
      <c r="D9" s="555"/>
      <c r="E9" s="554">
        <f>'Budget de projet'!E34:F34</f>
        <v>0</v>
      </c>
      <c r="F9" s="555"/>
      <c r="G9" s="426">
        <f t="shared" si="0"/>
        <v>0</v>
      </c>
      <c r="H9" s="427"/>
    </row>
    <row r="10" spans="2:8" x14ac:dyDescent="0.25">
      <c r="B10" s="190" t="s">
        <v>76</v>
      </c>
      <c r="C10" s="554">
        <f>'Budget de projet'!C35:D35</f>
        <v>0</v>
      </c>
      <c r="D10" s="555"/>
      <c r="E10" s="554">
        <f>'Budget de projet'!E35:F35</f>
        <v>0</v>
      </c>
      <c r="F10" s="555"/>
      <c r="G10" s="426">
        <f t="shared" si="0"/>
        <v>0</v>
      </c>
      <c r="H10" s="427"/>
    </row>
    <row r="11" spans="2:8" x14ac:dyDescent="0.25">
      <c r="B11" s="191" t="s">
        <v>77</v>
      </c>
      <c r="C11" s="554">
        <f>'Budget de projet'!C36:D36</f>
        <v>0</v>
      </c>
      <c r="D11" s="555"/>
      <c r="E11" s="554">
        <f>'Budget de projet'!E36:F36</f>
        <v>0</v>
      </c>
      <c r="F11" s="555"/>
      <c r="G11" s="426">
        <f t="shared" si="0"/>
        <v>0</v>
      </c>
      <c r="H11" s="427"/>
    </row>
    <row r="12" spans="2:8" x14ac:dyDescent="0.25">
      <c r="B12" s="185" t="s">
        <v>78</v>
      </c>
      <c r="C12" s="438">
        <f>SUM(C13:C15)</f>
        <v>0</v>
      </c>
      <c r="D12" s="439"/>
      <c r="E12" s="438">
        <f>SUM(E13:E15)</f>
        <v>0</v>
      </c>
      <c r="F12" s="439"/>
      <c r="G12" s="440">
        <f t="shared" si="0"/>
        <v>0</v>
      </c>
      <c r="H12" s="441"/>
    </row>
    <row r="13" spans="2:8" x14ac:dyDescent="0.25">
      <c r="B13" s="190" t="s">
        <v>79</v>
      </c>
      <c r="C13" s="554">
        <f>'Budget de projet'!C38:D38</f>
        <v>0</v>
      </c>
      <c r="D13" s="555"/>
      <c r="E13" s="554">
        <f>'Budget de projet'!E38:F38</f>
        <v>0</v>
      </c>
      <c r="F13" s="555"/>
      <c r="G13" s="426">
        <f t="shared" si="0"/>
        <v>0</v>
      </c>
      <c r="H13" s="427"/>
    </row>
    <row r="14" spans="2:8" x14ac:dyDescent="0.25">
      <c r="B14" s="190" t="s">
        <v>80</v>
      </c>
      <c r="C14" s="554">
        <f>'Budget de projet'!C39:D39</f>
        <v>0</v>
      </c>
      <c r="D14" s="555"/>
      <c r="E14" s="554">
        <f>'Budget de projet'!E39:F39</f>
        <v>0</v>
      </c>
      <c r="F14" s="555"/>
      <c r="G14" s="426">
        <f t="shared" si="0"/>
        <v>0</v>
      </c>
      <c r="H14" s="427"/>
    </row>
    <row r="15" spans="2:8" x14ac:dyDescent="0.25">
      <c r="B15" s="190" t="s">
        <v>81</v>
      </c>
      <c r="C15" s="554">
        <f>'Budget de projet'!C40:D40</f>
        <v>0</v>
      </c>
      <c r="D15" s="555"/>
      <c r="E15" s="554">
        <f>'Budget de projet'!E40:F40</f>
        <v>0</v>
      </c>
      <c r="F15" s="555"/>
      <c r="G15" s="426">
        <f t="shared" si="0"/>
        <v>0</v>
      </c>
      <c r="H15" s="427"/>
    </row>
    <row r="16" spans="2:8" x14ac:dyDescent="0.25">
      <c r="B16" s="185" t="s">
        <v>82</v>
      </c>
      <c r="C16" s="438">
        <f>C17</f>
        <v>0</v>
      </c>
      <c r="D16" s="439"/>
      <c r="E16" s="438">
        <f>E17</f>
        <v>0</v>
      </c>
      <c r="F16" s="439"/>
      <c r="G16" s="440">
        <f t="shared" si="0"/>
        <v>0</v>
      </c>
      <c r="H16" s="441"/>
    </row>
    <row r="17" spans="2:8" ht="15.75" thickBot="1" x14ac:dyDescent="0.3">
      <c r="B17" s="192" t="s">
        <v>83</v>
      </c>
      <c r="C17" s="556">
        <f>'Budget de projet'!C42:D42</f>
        <v>0</v>
      </c>
      <c r="D17" s="557"/>
      <c r="E17" s="556">
        <f>'Budget de projet'!E42:F42</f>
        <v>0</v>
      </c>
      <c r="F17" s="557"/>
      <c r="G17" s="444">
        <f t="shared" si="0"/>
        <v>0</v>
      </c>
      <c r="H17" s="445"/>
    </row>
    <row r="18" spans="2:8" ht="15.75" thickTop="1" x14ac:dyDescent="0.25">
      <c r="B18" s="186" t="s">
        <v>84</v>
      </c>
      <c r="C18" s="446">
        <f>C4+C8+C12+C16</f>
        <v>0</v>
      </c>
      <c r="D18" s="447"/>
      <c r="E18" s="446">
        <f>E4+E8+E12+E16</f>
        <v>0</v>
      </c>
      <c r="F18" s="447"/>
      <c r="G18" s="448">
        <f>G4+G8+G12+G16</f>
        <v>0</v>
      </c>
      <c r="H18" s="449"/>
    </row>
    <row r="19" spans="2:8" x14ac:dyDescent="0.25">
      <c r="B19" s="195"/>
      <c r="C19" s="196"/>
      <c r="D19" s="196"/>
      <c r="E19" s="196"/>
      <c r="F19" s="196"/>
      <c r="G19" s="196"/>
      <c r="H19" s="197"/>
    </row>
    <row r="20" spans="2:8" x14ac:dyDescent="0.25">
      <c r="B20" s="193" t="s">
        <v>85</v>
      </c>
      <c r="C20" s="456">
        <f>SUM(C21:D22)</f>
        <v>0</v>
      </c>
      <c r="D20" s="457"/>
      <c r="E20" s="456">
        <f t="shared" ref="E20" si="1">SUM(E21:F22)</f>
        <v>0</v>
      </c>
      <c r="F20" s="457"/>
      <c r="G20" s="458">
        <f>SUM(G21:H22)</f>
        <v>0</v>
      </c>
      <c r="H20" s="459"/>
    </row>
    <row r="21" spans="2:8" x14ac:dyDescent="0.25">
      <c r="B21" s="190" t="s">
        <v>86</v>
      </c>
      <c r="C21" s="456">
        <f>0.02*C18</f>
        <v>0</v>
      </c>
      <c r="D21" s="457"/>
      <c r="E21" s="456">
        <f t="shared" ref="E21" si="2">0.02*E18</f>
        <v>0</v>
      </c>
      <c r="F21" s="457"/>
      <c r="G21" s="460">
        <f>SUM(C21:F21)</f>
        <v>0</v>
      </c>
      <c r="H21" s="461"/>
    </row>
    <row r="22" spans="2:8" x14ac:dyDescent="0.25">
      <c r="B22" s="194" t="s">
        <v>87</v>
      </c>
      <c r="C22" s="450">
        <f>0.03*C18</f>
        <v>0</v>
      </c>
      <c r="D22" s="451"/>
      <c r="E22" s="450">
        <f t="shared" ref="E22" si="3">0.03*E18</f>
        <v>0</v>
      </c>
      <c r="F22" s="451"/>
      <c r="G22" s="452">
        <f>SUM(C22:F22)</f>
        <v>0</v>
      </c>
      <c r="H22" s="453"/>
    </row>
    <row r="23" spans="2:8" ht="15.75" thickBot="1" x14ac:dyDescent="0.3">
      <c r="B23" s="198"/>
      <c r="C23" s="199"/>
      <c r="D23" s="199"/>
      <c r="E23" s="199"/>
      <c r="F23" s="199"/>
      <c r="G23" s="199"/>
      <c r="H23" s="200"/>
    </row>
    <row r="24" spans="2:8" ht="15.75" thickTop="1" x14ac:dyDescent="0.25">
      <c r="B24" s="187" t="s">
        <v>88</v>
      </c>
      <c r="C24" s="446">
        <f>C18+C20</f>
        <v>0</v>
      </c>
      <c r="D24" s="447"/>
      <c r="E24" s="446">
        <f>E18+E20</f>
        <v>0</v>
      </c>
      <c r="F24" s="447"/>
      <c r="G24" s="454">
        <f>G18+G20</f>
        <v>0</v>
      </c>
      <c r="H24" s="455"/>
    </row>
    <row r="25" spans="2:8" x14ac:dyDescent="0.25">
      <c r="B25" s="195"/>
      <c r="C25" s="196"/>
      <c r="D25" s="196"/>
      <c r="E25" s="196"/>
      <c r="F25" s="196"/>
      <c r="G25" s="196"/>
      <c r="H25" s="197"/>
    </row>
    <row r="26" spans="2:8" x14ac:dyDescent="0.25">
      <c r="B26" s="208" t="str">
        <f>"Montant en nature pris en compte (max : "&amp;IF(TRL="2-3","0% du coût total admissible du projet = ","20 % du coût total admissible du projet = ")&amp;IF(TRL="2-3",0,G24*25%)&amp;" $)"</f>
        <v>Montant en nature pris en compte (max : 20 % du coût total admissible du projet = 0 $)</v>
      </c>
      <c r="C26" s="209"/>
      <c r="D26" s="209"/>
      <c r="E26" s="209"/>
      <c r="F26" s="209"/>
      <c r="G26" s="462">
        <f>'Budget de projet'!G51</f>
        <v>0</v>
      </c>
      <c r="H26" s="463"/>
    </row>
    <row r="27" spans="2:8" ht="15.75" thickBot="1" x14ac:dyDescent="0.3">
      <c r="B27" s="201"/>
      <c r="C27" s="464"/>
      <c r="D27" s="464"/>
      <c r="E27" s="202"/>
      <c r="F27" s="202"/>
      <c r="G27" s="203"/>
      <c r="H27" s="204"/>
    </row>
    <row r="28" spans="2:8" ht="16.5" thickTop="1" thickBot="1" x14ac:dyDescent="0.3">
      <c r="B28" s="205" t="s">
        <v>89</v>
      </c>
      <c r="C28" s="206"/>
      <c r="D28" s="206"/>
      <c r="E28" s="207"/>
      <c r="F28" s="207"/>
      <c r="G28" s="465">
        <f>G24+G26</f>
        <v>0</v>
      </c>
      <c r="H28" s="466"/>
    </row>
    <row r="29" spans="2:8" ht="15.75" thickBot="1" x14ac:dyDescent="0.3"/>
    <row r="30" spans="2:8" ht="16.5" thickBot="1" x14ac:dyDescent="0.3">
      <c r="B30" s="428" t="s">
        <v>145</v>
      </c>
      <c r="C30" s="429"/>
      <c r="D30" s="429"/>
      <c r="E30" s="429"/>
      <c r="F30" s="429"/>
      <c r="G30" s="429"/>
      <c r="H30" s="430"/>
    </row>
    <row r="31" spans="2:8" ht="16.5" thickBot="1" x14ac:dyDescent="0.3">
      <c r="B31" s="558" t="s">
        <v>147</v>
      </c>
      <c r="C31" s="558"/>
      <c r="D31" s="558"/>
      <c r="E31" s="558"/>
      <c r="F31" s="558"/>
      <c r="G31" s="558"/>
      <c r="H31" s="558"/>
    </row>
    <row r="32" spans="2:8" x14ac:dyDescent="0.25">
      <c r="B32" s="559" t="s">
        <v>209</v>
      </c>
      <c r="C32" s="560"/>
      <c r="D32" s="561">
        <f>'Budget de projet'!C81</f>
        <v>0</v>
      </c>
      <c r="E32" s="561"/>
      <c r="F32" s="149"/>
      <c r="G32" s="149"/>
      <c r="H32" s="150"/>
    </row>
    <row r="33" spans="2:8" x14ac:dyDescent="0.25">
      <c r="B33" s="567" t="s">
        <v>210</v>
      </c>
      <c r="C33" s="568"/>
      <c r="D33" s="573" t="str">
        <f>'Budget de projet'!C82</f>
        <v/>
      </c>
      <c r="E33" s="573"/>
      <c r="F33" s="149"/>
      <c r="G33" s="149"/>
      <c r="H33" s="150"/>
    </row>
    <row r="34" spans="2:8" x14ac:dyDescent="0.25">
      <c r="B34" s="567" t="s">
        <v>211</v>
      </c>
      <c r="C34" s="568"/>
      <c r="D34" s="573" t="str">
        <f>'Budget de projet'!C83</f>
        <v>Sélectionnez / Select</v>
      </c>
      <c r="E34" s="573"/>
      <c r="F34" s="149"/>
      <c r="G34" s="149"/>
      <c r="H34" s="150"/>
    </row>
    <row r="35" spans="2:8" x14ac:dyDescent="0.25">
      <c r="B35" s="567" t="s">
        <v>196</v>
      </c>
      <c r="C35" s="568"/>
      <c r="D35" s="573" t="str">
        <f>'Budget de projet'!C84</f>
        <v>Sélectionnez / Select</v>
      </c>
      <c r="E35" s="573"/>
      <c r="F35" s="149"/>
      <c r="G35" s="149"/>
      <c r="H35" s="150"/>
    </row>
    <row r="36" spans="2:8" ht="15.75" thickBot="1" x14ac:dyDescent="0.3">
      <c r="B36" s="569" t="s">
        <v>146</v>
      </c>
      <c r="C36" s="569"/>
      <c r="D36" s="574">
        <f>'Budget de projet'!C85</f>
        <v>0</v>
      </c>
      <c r="E36" s="574"/>
      <c r="F36" s="149"/>
      <c r="G36" s="149"/>
      <c r="H36" s="150"/>
    </row>
    <row r="37" spans="2:8" x14ac:dyDescent="0.25">
      <c r="B37" s="570" t="s">
        <v>154</v>
      </c>
      <c r="C37" s="575" t="str">
        <f>'Budget de projet'!C86:D86</f>
        <v xml:space="preserve">- </v>
      </c>
      <c r="D37" s="575"/>
      <c r="E37" s="575"/>
      <c r="F37" s="149"/>
      <c r="G37" s="149"/>
      <c r="H37" s="150"/>
    </row>
    <row r="38" spans="2:8" x14ac:dyDescent="0.25">
      <c r="B38" s="571"/>
      <c r="C38" s="524" t="str">
        <f>'Budget de projet'!C87:D87</f>
        <v xml:space="preserve">- </v>
      </c>
      <c r="D38" s="524"/>
      <c r="E38" s="524"/>
      <c r="F38" s="149"/>
      <c r="G38" s="149"/>
      <c r="H38" s="150"/>
    </row>
    <row r="39" spans="2:8" x14ac:dyDescent="0.25">
      <c r="B39" s="571"/>
      <c r="C39" s="524" t="str">
        <f>'Budget de projet'!C88:D88</f>
        <v xml:space="preserve">- </v>
      </c>
      <c r="D39" s="524"/>
      <c r="E39" s="524"/>
      <c r="F39" s="149"/>
      <c r="G39" s="149"/>
      <c r="H39" s="150"/>
    </row>
    <row r="40" spans="2:8" ht="15.75" thickBot="1" x14ac:dyDescent="0.3">
      <c r="B40" s="572"/>
      <c r="C40" s="526" t="str">
        <f>'Budget de projet'!C89:D89</f>
        <v xml:space="preserve">- </v>
      </c>
      <c r="D40" s="526"/>
      <c r="E40" s="526"/>
      <c r="F40" s="149"/>
      <c r="G40" s="149"/>
      <c r="H40" s="150"/>
    </row>
    <row r="41" spans="2:8" ht="16.5" thickBot="1" x14ac:dyDescent="0.3">
      <c r="B41" s="537" t="s">
        <v>148</v>
      </c>
      <c r="C41" s="566"/>
      <c r="D41" s="566"/>
      <c r="E41" s="566"/>
      <c r="F41" s="538"/>
      <c r="G41" s="538"/>
      <c r="H41" s="539"/>
    </row>
    <row r="42" spans="2:8" x14ac:dyDescent="0.25">
      <c r="B42" s="245" t="s">
        <v>155</v>
      </c>
      <c r="C42" s="243" t="s">
        <v>149</v>
      </c>
      <c r="D42" s="247" t="s">
        <v>104</v>
      </c>
      <c r="E42" s="147"/>
      <c r="F42" s="147"/>
      <c r="G42" s="147"/>
      <c r="H42" s="148"/>
    </row>
    <row r="43" spans="2:8" x14ac:dyDescent="0.25">
      <c r="B43" s="246" t="str">
        <f>'Budget de projet'!B92</f>
        <v>Industriels</v>
      </c>
      <c r="C43" s="238" t="e">
        <f>'Budget de projet'!C92</f>
        <v>#DIV/0!</v>
      </c>
      <c r="D43" s="244" t="e">
        <f>'Budget de projet'!D92</f>
        <v>#DIV/0!</v>
      </c>
      <c r="E43" s="157"/>
      <c r="F43" s="157"/>
      <c r="G43" s="157"/>
      <c r="H43" s="158"/>
    </row>
    <row r="44" spans="2:8" x14ac:dyDescent="0.25">
      <c r="B44" s="246" t="str">
        <f>'Budget de projet'!B93</f>
        <v>Oncopole</v>
      </c>
      <c r="C44" s="238" t="e">
        <f>'Budget de projet'!C93</f>
        <v>#DIV/0!</v>
      </c>
      <c r="D44" s="244" t="e">
        <f>'Budget de projet'!D93</f>
        <v>#DIV/0!</v>
      </c>
      <c r="E44" s="149"/>
      <c r="F44" s="149"/>
      <c r="G44" s="149"/>
      <c r="H44" s="150"/>
    </row>
    <row r="45" spans="2:8" x14ac:dyDescent="0.25">
      <c r="B45" s="246" t="s">
        <v>2</v>
      </c>
      <c r="C45" s="238" t="e">
        <f>'Budget de projet'!C94</f>
        <v>#DIV/0!</v>
      </c>
      <c r="D45" s="244" t="e">
        <f>'Budget de projet'!D94</f>
        <v>#DIV/0!</v>
      </c>
      <c r="E45" s="149"/>
      <c r="F45" s="149"/>
      <c r="G45" s="149"/>
      <c r="H45" s="150"/>
    </row>
    <row r="46" spans="2:8" x14ac:dyDescent="0.25">
      <c r="B46" s="246" t="str">
        <f>'Budget de projet'!B95</f>
        <v>MEDTEQ</v>
      </c>
      <c r="C46" s="238">
        <f>'Budget de projet'!C95</f>
        <v>0</v>
      </c>
      <c r="D46" s="244" t="e">
        <f>'Budget de projet'!D95</f>
        <v>#DIV/0!</v>
      </c>
      <c r="E46" s="149"/>
      <c r="F46" s="149"/>
      <c r="G46" s="149"/>
      <c r="H46" s="150"/>
    </row>
    <row r="47" spans="2:8" ht="15.75" thickBot="1" x14ac:dyDescent="0.3">
      <c r="B47" s="353" t="str">
        <f>'Budget de projet'!B96</f>
        <v>Institut TransMedTech</v>
      </c>
      <c r="C47" s="273">
        <f>'Budget de projet'!C96</f>
        <v>0</v>
      </c>
      <c r="D47" s="274" t="e">
        <f>'Budget de projet'!D96</f>
        <v>#DIV/0!</v>
      </c>
      <c r="E47" s="149"/>
      <c r="F47" s="149"/>
      <c r="G47" s="149"/>
      <c r="H47" s="150"/>
    </row>
    <row r="48" spans="2:8" ht="15.75" thickBot="1" x14ac:dyDescent="0.3">
      <c r="B48" s="354" t="s">
        <v>153</v>
      </c>
      <c r="C48" s="355" t="e">
        <f>'Budget de projet'!C97</f>
        <v>#DIV/0!</v>
      </c>
      <c r="D48" s="356" t="e">
        <f>'Budget de projet'!D97</f>
        <v>#DIV/0!</v>
      </c>
      <c r="E48" s="149"/>
      <c r="F48" s="149"/>
      <c r="G48" s="149"/>
      <c r="H48" s="150"/>
    </row>
    <row r="49" spans="2:8" ht="16.5" thickBot="1" x14ac:dyDescent="0.3">
      <c r="B49" s="537" t="s">
        <v>191</v>
      </c>
      <c r="C49" s="538"/>
      <c r="D49" s="538"/>
      <c r="E49" s="538"/>
      <c r="F49" s="538"/>
      <c r="G49" s="538"/>
      <c r="H49" s="539"/>
    </row>
    <row r="50" spans="2:8" x14ac:dyDescent="0.25">
      <c r="B50" s="280" t="s">
        <v>110</v>
      </c>
      <c r="C50" s="242" t="s">
        <v>150</v>
      </c>
      <c r="D50" s="242" t="s">
        <v>151</v>
      </c>
      <c r="E50" s="242" t="s">
        <v>57</v>
      </c>
      <c r="F50" s="242" t="s">
        <v>152</v>
      </c>
      <c r="G50" s="576" t="s">
        <v>153</v>
      </c>
      <c r="H50" s="577"/>
    </row>
    <row r="51" spans="2:8" x14ac:dyDescent="0.25">
      <c r="B51" s="236" t="str">
        <f>'Budget de projet'!B100</f>
        <v/>
      </c>
      <c r="C51" s="239" t="e">
        <f>'Budget de projet'!C100</f>
        <v>#DIV/0!</v>
      </c>
      <c r="D51" s="238" t="e">
        <f>'Budget de projet'!D100</f>
        <v>#DIV/0!</v>
      </c>
      <c r="E51" s="239">
        <f>'Budget de projet'!E100</f>
        <v>0</v>
      </c>
      <c r="F51" s="302">
        <f>'Budget de projet'!F100:G100</f>
        <v>0</v>
      </c>
      <c r="G51" s="562" t="e">
        <f>'Budget de projet'!H100</f>
        <v>#DIV/0!</v>
      </c>
      <c r="H51" s="563"/>
    </row>
    <row r="52" spans="2:8" x14ac:dyDescent="0.25">
      <c r="B52" s="236" t="str">
        <f>'Budget de projet'!B101</f>
        <v/>
      </c>
      <c r="C52" s="239" t="e">
        <f>'Budget de projet'!C101</f>
        <v>#DIV/0!</v>
      </c>
      <c r="D52" s="238" t="e">
        <f>'Budget de projet'!D101</f>
        <v>#DIV/0!</v>
      </c>
      <c r="E52" s="239">
        <f>'Budget de projet'!E101</f>
        <v>0</v>
      </c>
      <c r="F52" s="302">
        <f>'Budget de projet'!F101:G101</f>
        <v>0</v>
      </c>
      <c r="G52" s="562" t="e">
        <f>'Budget de projet'!H101</f>
        <v>#DIV/0!</v>
      </c>
      <c r="H52" s="563"/>
    </row>
    <row r="53" spans="2:8" x14ac:dyDescent="0.25">
      <c r="B53" s="236" t="str">
        <f>'Budget de projet'!B102</f>
        <v/>
      </c>
      <c r="C53" s="239" t="e">
        <f>'Budget de projet'!C102</f>
        <v>#DIV/0!</v>
      </c>
      <c r="D53" s="238" t="e">
        <f>'Budget de projet'!D102</f>
        <v>#DIV/0!</v>
      </c>
      <c r="E53" s="239">
        <f>'Budget de projet'!E102</f>
        <v>0</v>
      </c>
      <c r="F53" s="302">
        <f>'Budget de projet'!F102:G102</f>
        <v>0</v>
      </c>
      <c r="G53" s="562" t="e">
        <f>'Budget de projet'!H102</f>
        <v>#DIV/0!</v>
      </c>
      <c r="H53" s="563"/>
    </row>
    <row r="54" spans="2:8" ht="15.75" thickBot="1" x14ac:dyDescent="0.3">
      <c r="B54" s="237" t="str">
        <f>'Budget de projet'!B103</f>
        <v/>
      </c>
      <c r="C54" s="241" t="e">
        <f>'Budget de projet'!C103</f>
        <v>#DIV/0!</v>
      </c>
      <c r="D54" s="240" t="e">
        <f>'Budget de projet'!D103</f>
        <v>#DIV/0!</v>
      </c>
      <c r="E54" s="241">
        <f>'Budget de projet'!E103</f>
        <v>0</v>
      </c>
      <c r="F54" s="303">
        <f>'Budget de projet'!F103:G103</f>
        <v>0</v>
      </c>
      <c r="G54" s="564" t="e">
        <f>'Budget de projet'!H103</f>
        <v>#DIV/0!</v>
      </c>
      <c r="H54" s="565"/>
    </row>
  </sheetData>
  <sheetProtection algorithmName="SHA-512" hashValue="sKF87jgLOmMffY0M32NEESf1ATTS1Q+poFFTt2oNsfi4Pmj0tDe+rf85V7ev2Fjwos9tjFPKQAsSA5+rW2gvig==" saltValue="UWjs229ewTNla6SMvGmeCg==" spinCount="100000" sheet="1" objects="1" scenarios="1"/>
  <mergeCells count="88">
    <mergeCell ref="B33:C33"/>
    <mergeCell ref="D33:E33"/>
    <mergeCell ref="G50:H50"/>
    <mergeCell ref="G51:H51"/>
    <mergeCell ref="G52:H52"/>
    <mergeCell ref="C39:E39"/>
    <mergeCell ref="G53:H53"/>
    <mergeCell ref="G54:H54"/>
    <mergeCell ref="B41:H41"/>
    <mergeCell ref="B49:H49"/>
    <mergeCell ref="B34:C34"/>
    <mergeCell ref="B35:C35"/>
    <mergeCell ref="B36:C36"/>
    <mergeCell ref="B37:B40"/>
    <mergeCell ref="D34:E34"/>
    <mergeCell ref="C40:E40"/>
    <mergeCell ref="D35:E35"/>
    <mergeCell ref="D36:E36"/>
    <mergeCell ref="C37:E37"/>
    <mergeCell ref="C38:E38"/>
    <mergeCell ref="G26:H26"/>
    <mergeCell ref="C27:D27"/>
    <mergeCell ref="G28:H28"/>
    <mergeCell ref="B31:H31"/>
    <mergeCell ref="B32:C32"/>
    <mergeCell ref="D32:E32"/>
    <mergeCell ref="B30:H30"/>
    <mergeCell ref="C22:D22"/>
    <mergeCell ref="E22:F22"/>
    <mergeCell ref="G22:H22"/>
    <mergeCell ref="C24:D24"/>
    <mergeCell ref="E24:F24"/>
    <mergeCell ref="G24:H24"/>
    <mergeCell ref="C20:D20"/>
    <mergeCell ref="E20:F20"/>
    <mergeCell ref="G20:H20"/>
    <mergeCell ref="C21:D21"/>
    <mergeCell ref="E21:F21"/>
    <mergeCell ref="G21:H21"/>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 ref="C9:D9"/>
    <mergeCell ref="E9:F9"/>
    <mergeCell ref="G9:H9"/>
    <mergeCell ref="C10:D10"/>
    <mergeCell ref="E10:F10"/>
    <mergeCell ref="G10:H10"/>
    <mergeCell ref="C7:D7"/>
    <mergeCell ref="E7:F7"/>
    <mergeCell ref="G7:H7"/>
    <mergeCell ref="C8:D8"/>
    <mergeCell ref="E8:F8"/>
    <mergeCell ref="G8:H8"/>
    <mergeCell ref="C5:D5"/>
    <mergeCell ref="E5:F5"/>
    <mergeCell ref="G5:H5"/>
    <mergeCell ref="C6:D6"/>
    <mergeCell ref="E6:F6"/>
    <mergeCell ref="G6:H6"/>
    <mergeCell ref="B2:H2"/>
    <mergeCell ref="C3:D3"/>
    <mergeCell ref="E3:F3"/>
    <mergeCell ref="G3:H3"/>
    <mergeCell ref="C4:D4"/>
    <mergeCell ref="E4:F4"/>
    <mergeCell ref="G4:H4"/>
  </mergeCells>
  <conditionalFormatting sqref="C5:C7 E5:E7">
    <cfRule type="containsBlanks" dxfId="5" priority="7">
      <formula>LEN(TRIM(C5))=0</formula>
    </cfRule>
  </conditionalFormatting>
  <conditionalFormatting sqref="C9:C11 E9:E11">
    <cfRule type="containsBlanks" dxfId="4" priority="4">
      <formula>LEN(TRIM(C9))=0</formula>
    </cfRule>
  </conditionalFormatting>
  <conditionalFormatting sqref="C13:C15 E13:E15">
    <cfRule type="containsBlanks" dxfId="3" priority="3">
      <formula>LEN(TRIM(C13))=0</formula>
    </cfRule>
  </conditionalFormatting>
  <conditionalFormatting sqref="C17 E17">
    <cfRule type="containsBlanks" dxfId="2" priority="1">
      <formula>LEN(TRIM(C17))=0</formula>
    </cfRule>
  </conditionalFormatting>
  <dataValidations count="1">
    <dataValidation type="whole" allowBlank="1" showInputMessage="1" showErrorMessage="1" error="Les montants doivent être des nombres entiers" sqref="C4:G18">
      <formula1>0</formula1>
      <formula2>99999999999</formula2>
    </dataValidation>
  </dataValidations>
  <pageMargins left="0.7" right="0.7" top="0.75" bottom="0.75" header="0.3" footer="0.3"/>
  <pageSetup scale="68"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ellIs" priority="68" operator="lessThanOrEqual" id="{159080FB-14F8-4585-85F6-6485C1489CAC}">
            <xm:f>IF('Budget de projet'!$C$21="2-3",0,0.25*'Budget de projet'!$G$49)</xm:f>
            <x14:dxf>
              <font>
                <color rgb="FF006100"/>
              </font>
              <fill>
                <patternFill>
                  <bgColor rgb="FFC6EFCE"/>
                </patternFill>
              </fill>
            </x14:dxf>
          </x14:cfRule>
          <x14:cfRule type="cellIs" priority="69" operator="greaterThan" id="{A11A0170-2C15-4415-9847-679D8D79E814}">
            <xm:f>IF('Budget de projet'!$C$21="2-3",0,'Budget de projet'!$G$49*0.25)</xm:f>
            <x14:dxf>
              <font>
                <color rgb="FF9C0006"/>
              </font>
              <fill>
                <patternFill>
                  <bgColor rgb="FFFFC7CE"/>
                </patternFill>
              </fill>
            </x14:dxf>
          </x14:cfRule>
          <xm:sqref>G26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22</vt:i4>
      </vt:variant>
    </vt:vector>
  </HeadingPairs>
  <TitlesOfParts>
    <vt:vector size="31" baseType="lpstr">
      <vt:lpstr>Feuil1</vt:lpstr>
      <vt:lpstr>TRL1-3</vt:lpstr>
      <vt:lpstr>TRL4-6</vt:lpstr>
      <vt:lpstr>iTMT TRL1-3</vt:lpstr>
      <vt:lpstr>iTMT TRL4-6</vt:lpstr>
      <vt:lpstr>FRA</vt:lpstr>
      <vt:lpstr>ENG</vt:lpstr>
      <vt:lpstr>Budget de projet</vt:lpstr>
      <vt:lpstr>PrintSheet</vt:lpstr>
      <vt:lpstr>_123</vt:lpstr>
      <vt:lpstr>_124</vt:lpstr>
      <vt:lpstr>_A90</vt:lpstr>
      <vt:lpstr>A12A</vt:lpstr>
      <vt:lpstr>Appariement</vt:lpstr>
      <vt:lpstr>Cout_Recherche</vt:lpstr>
      <vt:lpstr>Duree</vt:lpstr>
      <vt:lpstr>Etablissement</vt:lpstr>
      <vt:lpstr>FG_MESI</vt:lpstr>
      <vt:lpstr>FIR_Ind</vt:lpstr>
      <vt:lpstr>Grappe</vt:lpstr>
      <vt:lpstr>Langue_Choisie</vt:lpstr>
      <vt:lpstr>MATÉRIEL</vt:lpstr>
      <vt:lpstr>Nbr_Ind</vt:lpstr>
      <vt:lpstr>PERSONNEL</vt:lpstr>
      <vt:lpstr>Sélectionnez</vt:lpstr>
      <vt:lpstr>Test_Budget_Commence</vt:lpstr>
      <vt:lpstr>Test_Info</vt:lpstr>
      <vt:lpstr>Test_Nbr_Etablissement</vt:lpstr>
      <vt:lpstr>Total_Admissible</vt:lpstr>
      <vt:lpstr>TransMedTech</vt:lpstr>
      <vt:lpstr>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Djazia Liamini</dc:creator>
  <cp:lastModifiedBy>mpelletier</cp:lastModifiedBy>
  <cp:lastPrinted>2018-11-19T20:08:28Z</cp:lastPrinted>
  <dcterms:created xsi:type="dcterms:W3CDTF">2018-10-29T19:09:44Z</dcterms:created>
  <dcterms:modified xsi:type="dcterms:W3CDTF">2018-12-04T16:05:21Z</dcterms:modified>
</cp:coreProperties>
</file>